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8195" windowHeight="9495" activeTab="1"/>
  </bookViews>
  <sheets>
    <sheet name="Master Calculation" sheetId="1" r:id="rId1"/>
    <sheet name="Additional Element - 1" sheetId="6" r:id="rId2"/>
    <sheet name="Additional Element - 2" sheetId="7" r:id="rId3"/>
    <sheet name="Notes" sheetId="5" r:id="rId4"/>
  </sheets>
  <definedNames>
    <definedName name="Floor_Type" localSheetId="1">'Additional Element - 1'!$R$47:$R$49</definedName>
    <definedName name="Floor_Type" localSheetId="2">'Additional Element - 2'!$R$47:$R$49</definedName>
    <definedName name="Floor_Type">'Master Calculation'!$R$47:$R$49</definedName>
    <definedName name="Floor_Type_Tab" localSheetId="1">'Additional Element - 1'!$R$47:$S$49</definedName>
    <definedName name="Floor_Type_Tab" localSheetId="2">'Additional Element - 2'!$R$47:$S$49</definedName>
    <definedName name="Floor_Type_Tab">'Master Calculation'!$R$47:$S$49</definedName>
    <definedName name="Floor_Value" localSheetId="1">'Additional Element - 1'!$R$64:$U$73</definedName>
    <definedName name="Floor_Value" localSheetId="2">'Additional Element - 2'!$R$64:$U$73</definedName>
    <definedName name="Floor_Value">'Master Calculation'!$R$64:$U$73</definedName>
    <definedName name="Loc_Fact" localSheetId="1">'Additional Element - 1'!$R$11:$R$17</definedName>
    <definedName name="Loc_Fact" localSheetId="2">'Additional Element - 2'!$R$11:$R$17</definedName>
    <definedName name="Loc_Fact">'Master Calculation'!$R$11:$R$17</definedName>
    <definedName name="Loc_Fact_Tab" localSheetId="1">'Additional Element - 1'!$R$10:$S$17</definedName>
    <definedName name="Loc_Fact_Tab" localSheetId="2">'Additional Element - 2'!$R$10:$S$17</definedName>
    <definedName name="Loc_Fact_Tab">'Master Calculation'!$R$10:$S$17</definedName>
    <definedName name="P_Type" localSheetId="1">'Additional Element - 1'!$R$3:$R$8</definedName>
    <definedName name="P_Type" localSheetId="2">'Additional Element - 2'!$R$3:$R$8</definedName>
    <definedName name="P_Type">'Master Calculation'!$R$3:$R$8</definedName>
    <definedName name="P_Type_Tab" localSheetId="1">'Additional Element - 1'!$R$3:$T$8</definedName>
    <definedName name="P_Type_Tab" localSheetId="2">'Additional Element - 2'!$R$3:$T$8</definedName>
    <definedName name="P_Type_Tab">'Master Calculation'!$R$3:$T$8</definedName>
    <definedName name="_xlnm.Print_Area" localSheetId="1">'Additional Element - 1'!$B$1:$O$74</definedName>
    <definedName name="_xlnm.Print_Area" localSheetId="2">'Additional Element - 2'!$B$1:$O$74</definedName>
    <definedName name="_xlnm.Print_Area" localSheetId="0">'Master Calculation'!$B$1:$O$86</definedName>
    <definedName name="Roof_Type" localSheetId="1">'Additional Element - 1'!$R$36:$R$43</definedName>
    <definedName name="Roof_Type" localSheetId="2">'Additional Element - 2'!$R$36:$R$43</definedName>
    <definedName name="Roof_Type">'Master Calculation'!$R$36:$R$43</definedName>
    <definedName name="Roof_Type_Tab" localSheetId="1">'Additional Element - 1'!$R$36:$S$43</definedName>
    <definedName name="Roof_Type_Tab" localSheetId="2">'Additional Element - 2'!$R$36:$S$43</definedName>
    <definedName name="Roof_Type_Tab">'Master Calculation'!$R$36:$S$43</definedName>
    <definedName name="Wall_Type" localSheetId="1">'Additional Element - 1'!$R$30:$R$34</definedName>
    <definedName name="Wall_Type" localSheetId="2">'Additional Element - 2'!$R$30:$R$34</definedName>
    <definedName name="Wall_Type">'Master Calculation'!$R$30:$R$34</definedName>
    <definedName name="Wall_Type_Tab" localSheetId="1">'Additional Element - 1'!$R$30:$S$34</definedName>
    <definedName name="Wall_Type_Tab" localSheetId="2">'Additional Element - 2'!$R$30:$S$34</definedName>
    <definedName name="Wall_Type_Tab">'Master Calculation'!$R$30:$S$34</definedName>
    <definedName name="Win_Type" localSheetId="1">'Additional Element - 1'!$R$22:$R$26</definedName>
    <definedName name="Win_Type" localSheetId="2">'Additional Element - 2'!$R$22:$R$26</definedName>
    <definedName name="Win_Type">'Master Calculation'!$R$22:$R$26</definedName>
    <definedName name="Win_Type_Tab" localSheetId="1">'Additional Element - 1'!$R$22:$S$26</definedName>
    <definedName name="Win_Type_Tab" localSheetId="2">'Additional Element - 2'!$R$22:$S$26</definedName>
    <definedName name="Win_Type_Tab">'Master Calculation'!$R$22:$S$26</definedName>
  </definedNames>
  <calcPr calcId="145621"/>
</workbook>
</file>

<file path=xl/calcChain.xml><?xml version="1.0" encoding="utf-8"?>
<calcChain xmlns="http://schemas.openxmlformats.org/spreadsheetml/2006/main">
  <c r="J81" i="1" l="1"/>
  <c r="H81" i="1"/>
  <c r="L2" i="7" l="1"/>
  <c r="D2" i="7"/>
  <c r="L2" i="6"/>
  <c r="D2" i="6"/>
  <c r="L2" i="1"/>
  <c r="L64" i="7"/>
  <c r="L60" i="7"/>
  <c r="B57" i="7"/>
  <c r="F57" i="7"/>
  <c r="L56" i="7"/>
  <c r="H56" i="7"/>
  <c r="D48" i="7"/>
  <c r="H48" i="7"/>
  <c r="D46" i="7"/>
  <c r="L36" i="7"/>
  <c r="L30" i="7"/>
  <c r="L26" i="7"/>
  <c r="H23" i="7"/>
  <c r="D23" i="7"/>
  <c r="B23" i="7"/>
  <c r="F23" i="7"/>
  <c r="B15" i="7"/>
  <c r="F15" i="7"/>
  <c r="L14" i="7"/>
  <c r="J14" i="7"/>
  <c r="B13" i="7"/>
  <c r="F13" i="7"/>
  <c r="H6" i="7"/>
  <c r="L72" i="7"/>
  <c r="D6" i="7"/>
  <c r="N60" i="7"/>
  <c r="H6" i="6"/>
  <c r="D6" i="6"/>
  <c r="D26" i="6"/>
  <c r="L72" i="6"/>
  <c r="L64" i="6"/>
  <c r="L60" i="6"/>
  <c r="F57" i="6"/>
  <c r="B57" i="6"/>
  <c r="L56" i="6"/>
  <c r="H56" i="6"/>
  <c r="H48" i="6"/>
  <c r="D48" i="6"/>
  <c r="D46" i="6"/>
  <c r="L36" i="6"/>
  <c r="L30" i="6"/>
  <c r="L26" i="6"/>
  <c r="H23" i="6"/>
  <c r="D23" i="6"/>
  <c r="B23" i="6"/>
  <c r="B15" i="6"/>
  <c r="F15" i="6"/>
  <c r="L14" i="6"/>
  <c r="J14" i="6"/>
  <c r="B13" i="6"/>
  <c r="F13" i="6"/>
  <c r="N66" i="1"/>
  <c r="L66" i="1"/>
  <c r="L62" i="1"/>
  <c r="B59" i="1"/>
  <c r="L58" i="1"/>
  <c r="F59" i="1"/>
  <c r="F26" i="7"/>
  <c r="D26" i="7"/>
  <c r="F23" i="6"/>
  <c r="J60" i="6"/>
  <c r="J64" i="6"/>
  <c r="L28" i="1"/>
  <c r="L16" i="1"/>
  <c r="L74" i="1"/>
  <c r="D50" i="1"/>
  <c r="H50" i="1"/>
  <c r="D48" i="1"/>
  <c r="L38" i="1"/>
  <c r="L32" i="1"/>
  <c r="F28" i="1"/>
  <c r="H25" i="1"/>
  <c r="D25" i="1"/>
  <c r="B25" i="1"/>
  <c r="J16" i="1"/>
  <c r="B17" i="1"/>
  <c r="F17" i="1" s="1"/>
  <c r="B15" i="1"/>
  <c r="F15" i="1" s="1"/>
  <c r="D28" i="1"/>
  <c r="F36" i="6"/>
  <c r="F38" i="6"/>
  <c r="F40" i="6"/>
  <c r="N36" i="6"/>
  <c r="F72" i="6"/>
  <c r="N62" i="1"/>
  <c r="J23" i="6"/>
  <c r="B26" i="6"/>
  <c r="B46" i="6"/>
  <c r="H46" i="6"/>
  <c r="J47" i="6"/>
  <c r="N47" i="6"/>
  <c r="N50" i="6"/>
  <c r="J72" i="6"/>
  <c r="F36" i="7"/>
  <c r="J60" i="7"/>
  <c r="J64" i="7"/>
  <c r="J23" i="7"/>
  <c r="B26" i="7"/>
  <c r="N64" i="7"/>
  <c r="H14" i="7"/>
  <c r="H38" i="7"/>
  <c r="J38" i="7"/>
  <c r="L40" i="7"/>
  <c r="N14" i="7"/>
  <c r="B55" i="7"/>
  <c r="F55" i="7"/>
  <c r="N56" i="7"/>
  <c r="H67" i="7"/>
  <c r="N67" i="7"/>
  <c r="H14" i="6"/>
  <c r="H38" i="6"/>
  <c r="J38" i="6"/>
  <c r="L40" i="6"/>
  <c r="N40" i="6"/>
  <c r="H72" i="6"/>
  <c r="N14" i="6"/>
  <c r="B55" i="6"/>
  <c r="F55" i="6"/>
  <c r="N56" i="6"/>
  <c r="F26" i="6"/>
  <c r="N60" i="6"/>
  <c r="N64" i="6"/>
  <c r="H26" i="6"/>
  <c r="H26" i="7"/>
  <c r="B46" i="7"/>
  <c r="H46" i="7"/>
  <c r="J47" i="7"/>
  <c r="N47" i="7"/>
  <c r="N50" i="7"/>
  <c r="J72" i="7"/>
  <c r="F38" i="7"/>
  <c r="F40" i="7"/>
  <c r="N40" i="7"/>
  <c r="H72" i="7"/>
  <c r="N36" i="7"/>
  <c r="F72" i="7"/>
  <c r="L18" i="7"/>
  <c r="N18" i="7"/>
  <c r="B30" i="7"/>
  <c r="H67" i="6"/>
  <c r="N67" i="6"/>
  <c r="N26" i="6"/>
  <c r="B72" i="6"/>
  <c r="D30" i="6"/>
  <c r="B30" i="6"/>
  <c r="L18" i="6"/>
  <c r="N18" i="6"/>
  <c r="F30" i="6"/>
  <c r="N30" i="6"/>
  <c r="D72" i="6"/>
  <c r="N72" i="6"/>
  <c r="H84" i="1"/>
  <c r="D30" i="7"/>
  <c r="N26" i="7"/>
  <c r="B72" i="7"/>
  <c r="F30" i="7"/>
  <c r="N30" i="7"/>
  <c r="D72" i="7"/>
  <c r="N72" i="7"/>
  <c r="J84" i="1"/>
  <c r="H16" i="1" l="1"/>
  <c r="B57" i="1"/>
  <c r="F57" i="1" s="1"/>
  <c r="F25" i="1"/>
  <c r="N58" i="1"/>
  <c r="H69" i="1" s="1"/>
  <c r="N69" i="1" s="1"/>
  <c r="B81" i="1" s="1"/>
  <c r="H40" i="1"/>
  <c r="N16" i="1"/>
  <c r="L20" i="1" s="1"/>
  <c r="N20" i="1" s="1"/>
  <c r="F38" i="1"/>
  <c r="F40" i="1" s="1"/>
  <c r="J62" i="1"/>
  <c r="J66" i="1" s="1"/>
  <c r="J25" i="1"/>
  <c r="B28" i="1" s="1"/>
  <c r="F42" i="1"/>
  <c r="J40" i="1"/>
  <c r="L42" i="1" s="1"/>
  <c r="B48" i="1"/>
  <c r="H48" i="1" s="1"/>
  <c r="J49" i="1" s="1"/>
  <c r="N49" i="1" s="1"/>
  <c r="N52" i="1" s="1"/>
  <c r="J74" i="1" s="1"/>
  <c r="H28" i="1"/>
  <c r="N38" i="1"/>
  <c r="F74" i="1" s="1"/>
  <c r="B32" i="1"/>
  <c r="D32" i="1" l="1"/>
  <c r="F32" i="1" s="1"/>
  <c r="N32" i="1" s="1"/>
  <c r="D74" i="1" s="1"/>
  <c r="N28" i="1"/>
  <c r="B74" i="1" s="1"/>
  <c r="N42" i="1"/>
  <c r="H74" i="1" s="1"/>
  <c r="N74" i="1" l="1"/>
  <c r="D81" i="1" s="1"/>
  <c r="D84" i="1" l="1"/>
  <c r="N84" i="1" s="1"/>
  <c r="N81" i="1"/>
</calcChain>
</file>

<file path=xl/sharedStrings.xml><?xml version="1.0" encoding="utf-8"?>
<sst xmlns="http://schemas.openxmlformats.org/spreadsheetml/2006/main" count="689" uniqueCount="161">
  <si>
    <t>Property Type</t>
  </si>
  <si>
    <t>Semi-Detached</t>
  </si>
  <si>
    <t>Mid Terrace</t>
  </si>
  <si>
    <t>Top Flat</t>
  </si>
  <si>
    <t>Mid Flat</t>
  </si>
  <si>
    <t>Bottom Flat</t>
  </si>
  <si>
    <t>P_Type</t>
  </si>
  <si>
    <t>Win Fact</t>
  </si>
  <si>
    <t>Win Const</t>
  </si>
  <si>
    <t>Detached</t>
  </si>
  <si>
    <t>Length</t>
  </si>
  <si>
    <t>Width</t>
  </si>
  <si>
    <t>Location</t>
  </si>
  <si>
    <t>Room Height</t>
  </si>
  <si>
    <t>No. of Floors</t>
  </si>
  <si>
    <t>Scotland</t>
  </si>
  <si>
    <t>Northern England</t>
  </si>
  <si>
    <t>Midlands</t>
  </si>
  <si>
    <t>Northern Ireland</t>
  </si>
  <si>
    <t>South East</t>
  </si>
  <si>
    <t>Wales</t>
  </si>
  <si>
    <t>South West</t>
  </si>
  <si>
    <t>Loc_Factor</t>
  </si>
  <si>
    <t>1. Describe property and take three measurements (in metres)</t>
  </si>
  <si>
    <t>2. Calculate total external wall area (including windows) and exposed perimeter (see section 3 and section 4)</t>
  </si>
  <si>
    <t>3. Calculate the heat losses from windows and external walls</t>
  </si>
  <si>
    <t>4. Calculate the roof and floor heat losses</t>
  </si>
  <si>
    <t>5. Calculate the ventilation heat loss</t>
  </si>
  <si>
    <t>-</t>
  </si>
  <si>
    <t>=</t>
  </si>
  <si>
    <t>+</t>
  </si>
  <si>
    <t>Total external wall</t>
  </si>
  <si>
    <t>area</t>
  </si>
  <si>
    <t>Ext Wall Type</t>
  </si>
  <si>
    <t>Table 2: Window U-values</t>
  </si>
  <si>
    <t>Table 3: Wall U-values. Select on year built, if known.</t>
  </si>
  <si>
    <t>If not known select on construction type.</t>
  </si>
  <si>
    <t>Built 2003 or later</t>
  </si>
  <si>
    <t>Built 1983 - 2002</t>
  </si>
  <si>
    <t>Solid wall 220mm</t>
  </si>
  <si>
    <t>Unfilled cavity wall</t>
  </si>
  <si>
    <t>Filled cavity wall</t>
  </si>
  <si>
    <t>Roof Type/Ins</t>
  </si>
  <si>
    <t>Floor Type/Ins</t>
  </si>
  <si>
    <t>Pitched, none</t>
  </si>
  <si>
    <t>Pitched, 50mm (2")</t>
  </si>
  <si>
    <t>Pitched, 100mm (4")</t>
  </si>
  <si>
    <t>Pitched, 150mm (6")</t>
  </si>
  <si>
    <t>Pitched, 200mm (8") or more</t>
  </si>
  <si>
    <t>Flat roof built 1983 or later</t>
  </si>
  <si>
    <t>Flat roof, 25mm (1'') or more</t>
  </si>
  <si>
    <t>Flat roof, none</t>
  </si>
  <si>
    <t>Area ÷ exposed perimeter (m) W/m2/K W/m2/K W/m2/K</t>
  </si>
  <si>
    <t>Suspended or solid, more than 25mm</t>
  </si>
  <si>
    <t xml:space="preserve">Floor type and insulation thickness </t>
  </si>
  <si>
    <t>Suspended, 25mm or less</t>
  </si>
  <si>
    <t>Solid, 25mm or less</t>
  </si>
  <si>
    <t xml:space="preserve"> </t>
  </si>
  <si>
    <t>Window Type</t>
  </si>
  <si>
    <t>No of Chimneys</t>
  </si>
  <si>
    <t>S/glazed metal</t>
  </si>
  <si>
    <t>S/glazed wood/pvc</t>
  </si>
  <si>
    <t>D/glazed metal fitted before 2002</t>
  </si>
  <si>
    <t>D/glazed fitted 2002 or later</t>
  </si>
  <si>
    <t>D/glazed wood/PVC fitted before 2002</t>
  </si>
  <si>
    <t>X</t>
  </si>
  <si>
    <t>No of Ext Walls</t>
  </si>
  <si>
    <t>Exposed Perimeter</t>
  </si>
  <si>
    <t>SqM</t>
  </si>
  <si>
    <t>Maximum window</t>
  </si>
  <si>
    <t>Area of Lowest</t>
  </si>
  <si>
    <t>Floor</t>
  </si>
  <si>
    <t>Total Floor Area</t>
  </si>
  <si>
    <t>Window Constant</t>
  </si>
  <si>
    <t>Window Factor</t>
  </si>
  <si>
    <t>Est Window Area</t>
  </si>
  <si>
    <t>Act Window Area</t>
  </si>
  <si>
    <t>Window u-Value</t>
  </si>
  <si>
    <t>Window Heat Loss</t>
  </si>
  <si>
    <t>Net Wall Area</t>
  </si>
  <si>
    <t>Wall u-Value</t>
  </si>
  <si>
    <t>Wall Heat Loss</t>
  </si>
  <si>
    <t>Roof u-Value</t>
  </si>
  <si>
    <t>Roof Heat Loss</t>
  </si>
  <si>
    <t>W/K</t>
  </si>
  <si>
    <t>Floor u-Value</t>
  </si>
  <si>
    <t>Floor Heat Loss</t>
  </si>
  <si>
    <t>/</t>
  </si>
  <si>
    <t>Height</t>
  </si>
  <si>
    <t>No. of Chimneys</t>
  </si>
  <si>
    <t>Total Flow Rate</t>
  </si>
  <si>
    <t>Vent'n Heat Loss</t>
  </si>
  <si>
    <t>Venti'n Heat Loss</t>
  </si>
  <si>
    <t>Location Factor</t>
  </si>
  <si>
    <t>Total External Loss</t>
  </si>
  <si>
    <t>Hot Water</t>
  </si>
  <si>
    <t>External Loss</t>
  </si>
  <si>
    <t>Thermal Bridging</t>
  </si>
  <si>
    <t xml:space="preserve">Heat Required </t>
  </si>
  <si>
    <t>KW</t>
  </si>
  <si>
    <t>Basic Design Heat Loss</t>
  </si>
  <si>
    <t>MHRV Efficiency</t>
  </si>
  <si>
    <t>Reduced Loss</t>
  </si>
  <si>
    <t>A design internal temperature of 19.2°C</t>
  </si>
  <si>
    <t>(included in the location factor).</t>
  </si>
  <si>
    <t>Design external temperatures that depend on</t>
  </si>
  <si>
    <t>the location of the dwelling (included in the</t>
  </si>
  <si>
    <t>location factor).</t>
  </si>
  <si>
    <t>Losses to adjacent dwellings (party heat</t>
  </si>
  <si>
    <t>losses) are based on a room temperature</t>
  </si>
  <si>
    <t>difference of 10.6°C.</t>
  </si>
  <si>
    <t>Floor heat losses are based on both floor</t>
  </si>
  <si>
    <t>type and exposed perimeter of the dwelling.</t>
  </si>
  <si>
    <t>Window areas are inferred from floor area.</t>
  </si>
  <si>
    <t>An allowance of 10% for intermittent heating</t>
  </si>
  <si>
    <t>is included in the location factor.</t>
  </si>
  <si>
    <t>An allowance of 5% for distribution losses is</t>
  </si>
  <si>
    <t>included in the location factor.</t>
  </si>
  <si>
    <t>An average ventilation rate of 0.76 air</t>
  </si>
  <si>
    <t>changes per hour, with the facility to take</t>
  </si>
  <si>
    <t>account of extra heat losses due to open</t>
  </si>
  <si>
    <t>chimneys.</t>
  </si>
  <si>
    <t>An allowance of 2kW (3kW for larger hot</t>
  </si>
  <si>
    <t>water demands) for heating hot water in a</t>
  </si>
  <si>
    <t>separate cylinder.</t>
  </si>
  <si>
    <t>A minimum heat output of 8kW for boilers.</t>
  </si>
  <si>
    <t>The method is based on a number of assumptions:</t>
  </si>
  <si>
    <t>7. Sum the external surface and ventilation heat losses</t>
  </si>
  <si>
    <t>8. Calculate required heat output (in kW)</t>
  </si>
  <si>
    <t>7. Calculate any heat loss to adjacent properties (party heat losses),</t>
  </si>
  <si>
    <t>No of Party Walls</t>
  </si>
  <si>
    <t>Party Wall u-Value</t>
  </si>
  <si>
    <t xml:space="preserve">Party Wall </t>
  </si>
  <si>
    <t>Heat Loss</t>
  </si>
  <si>
    <t>Party wall (brick 215mm)</t>
  </si>
  <si>
    <t>Party ceiling</t>
  </si>
  <si>
    <t>Party floor</t>
  </si>
  <si>
    <t>Party ceiling losses are calculated for mid flats and bottom flats only.</t>
  </si>
  <si>
    <t>Lowest Floor Area</t>
  </si>
  <si>
    <t>Party Ceiling u-Value</t>
  </si>
  <si>
    <t>Party Ceiling</t>
  </si>
  <si>
    <t>Party Floor</t>
  </si>
  <si>
    <t>Party floor losses are calculated for mid flats and top flats only.</t>
  </si>
  <si>
    <t>Party Floor u-Value</t>
  </si>
  <si>
    <t>Total Party Heat Loss</t>
  </si>
  <si>
    <t>Total Loss</t>
  </si>
  <si>
    <t>W</t>
  </si>
  <si>
    <t>Are Party Losses Included ??</t>
  </si>
  <si>
    <t>Yes</t>
  </si>
  <si>
    <t>No</t>
  </si>
  <si>
    <t>Additional Element</t>
  </si>
  <si>
    <t>CE 54 Domestic Heating Sizing Method</t>
  </si>
  <si>
    <t>Name &amp; Address of Property</t>
  </si>
  <si>
    <t>Date</t>
  </si>
  <si>
    <t>Master Calculation</t>
  </si>
  <si>
    <t xml:space="preserve">Ref </t>
  </si>
  <si>
    <t>Additional Element (2)</t>
  </si>
  <si>
    <t>Additional Element (1)</t>
  </si>
  <si>
    <t>Calculated Cells - Do Not Change</t>
  </si>
  <si>
    <t xml:space="preserve">Input Cells </t>
  </si>
  <si>
    <t>Optional Input Cells - if 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</si>
</sst>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499984740745262"/>
      </top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1" applyNumberFormat="0" applyAlignment="0" applyProtection="0"/>
    <xf numFmtId="0" fontId="3" fillId="5" borderId="0" applyNumberFormat="0" applyBorder="0" applyAlignment="0" applyProtection="0"/>
    <xf numFmtId="0" fontId="4" fillId="0" borderId="2" applyNumberFormat="0" applyFill="0" applyAlignment="0" applyProtection="0"/>
    <xf numFmtId="0" fontId="5" fillId="6" borderId="1" applyNumberFormat="0" applyAlignment="0" applyProtection="0"/>
    <xf numFmtId="0" fontId="1" fillId="7" borderId="3" applyNumberFormat="0" applyFont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6" borderId="1" xfId="6"/>
    <xf numFmtId="0" fontId="2" fillId="4" borderId="1" xfId="3"/>
    <xf numFmtId="0" fontId="6" fillId="0" borderId="0" xfId="0" applyFont="1"/>
    <xf numFmtId="0" fontId="7" fillId="5" borderId="0" xfId="4" applyFont="1"/>
    <xf numFmtId="0" fontId="6" fillId="0" borderId="0" xfId="0" applyFont="1" applyAlignment="1">
      <alignment wrapText="1"/>
    </xf>
    <xf numFmtId="0" fontId="8" fillId="6" borderId="1" xfId="6" applyFont="1"/>
    <xf numFmtId="0" fontId="6" fillId="0" borderId="0" xfId="0" applyFont="1" applyAlignment="1">
      <alignment horizontal="center"/>
    </xf>
    <xf numFmtId="0" fontId="9" fillId="4" borderId="1" xfId="3" applyFont="1"/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 wrapText="1"/>
    </xf>
    <xf numFmtId="2" fontId="2" fillId="4" borderId="1" xfId="3" applyNumberFormat="1"/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2" fontId="11" fillId="3" borderId="1" xfId="2" applyNumberFormat="1" applyFont="1" applyBorder="1"/>
    <xf numFmtId="9" fontId="5" fillId="6" borderId="1" xfId="8" applyFont="1" applyFill="1" applyBorder="1"/>
    <xf numFmtId="0" fontId="12" fillId="0" borderId="0" xfId="0" applyFont="1"/>
    <xf numFmtId="0" fontId="5" fillId="7" borderId="3" xfId="7" applyFont="1"/>
    <xf numFmtId="0" fontId="6" fillId="0" borderId="0" xfId="0" applyFont="1" applyAlignment="1">
      <alignment horizontal="right"/>
    </xf>
    <xf numFmtId="2" fontId="1" fillId="2" borderId="1" xfId="1" applyNumberFormat="1" applyBorder="1"/>
    <xf numFmtId="2" fontId="5" fillId="6" borderId="1" xfId="6" applyNumberFormat="1"/>
    <xf numFmtId="0" fontId="4" fillId="0" borderId="2" xfId="5"/>
    <xf numFmtId="14" fontId="6" fillId="0" borderId="0" xfId="0" applyNumberFormat="1" applyFont="1"/>
    <xf numFmtId="0" fontId="13" fillId="0" borderId="0" xfId="0" applyFont="1"/>
    <xf numFmtId="0" fontId="6" fillId="7" borderId="3" xfId="7" applyFont="1"/>
    <xf numFmtId="0" fontId="14" fillId="0" borderId="0" xfId="0" applyFont="1"/>
    <xf numFmtId="0" fontId="13" fillId="0" borderId="4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5" fillId="6" borderId="1" xfId="6" applyAlignment="1">
      <alignment horizontal="left"/>
    </xf>
    <xf numFmtId="0" fontId="2" fillId="4" borderId="1" xfId="3" applyAlignment="1">
      <alignment horizontal="left"/>
    </xf>
  </cellXfs>
  <cellStyles count="9">
    <cellStyle name="20% - Accent1" xfId="1" builtinId="30"/>
    <cellStyle name="40% - Accent1" xfId="2" builtinId="31"/>
    <cellStyle name="Calculation" xfId="3" builtinId="22"/>
    <cellStyle name="Good" xfId="4" builtinId="26"/>
    <cellStyle name="Heading 2" xfId="5" builtinId="17"/>
    <cellStyle name="Input" xfId="6" builtinId="20"/>
    <cellStyle name="Normal" xfId="0" builtinId="0"/>
    <cellStyle name="Note" xfId="7" builtinId="1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U89"/>
  <sheetViews>
    <sheetView topLeftCell="A49" workbookViewId="0">
      <selection activeCell="J82" sqref="J82"/>
    </sheetView>
  </sheetViews>
  <sheetFormatPr defaultRowHeight="12.75" x14ac:dyDescent="0.2"/>
  <cols>
    <col min="1" max="1" width="9.140625" style="3"/>
    <col min="2" max="2" width="14.7109375" style="3" customWidth="1"/>
    <col min="3" max="3" width="2.28515625" style="3" customWidth="1"/>
    <col min="4" max="4" width="16.7109375" style="3" customWidth="1"/>
    <col min="5" max="5" width="2.28515625" style="3" customWidth="1"/>
    <col min="6" max="6" width="14.7109375" style="3" customWidth="1"/>
    <col min="7" max="7" width="2.28515625" style="3" customWidth="1"/>
    <col min="8" max="8" width="16.7109375" style="3" customWidth="1"/>
    <col min="9" max="9" width="2.28515625" style="3" customWidth="1"/>
    <col min="10" max="10" width="14.7109375" style="3" customWidth="1"/>
    <col min="11" max="11" width="2.28515625" style="3" customWidth="1"/>
    <col min="12" max="12" width="16.7109375" style="3" customWidth="1"/>
    <col min="13" max="13" width="2.28515625" style="3" customWidth="1"/>
    <col min="14" max="14" width="14.7109375" style="3" customWidth="1"/>
    <col min="15" max="15" width="16.7109375" style="3" customWidth="1"/>
    <col min="16" max="16" width="9.140625" style="3"/>
    <col min="17" max="17" width="9.140625" style="3" hidden="1" customWidth="1"/>
    <col min="18" max="18" width="22.140625" style="3" hidden="1" customWidth="1"/>
    <col min="19" max="21" width="9.140625" style="3" hidden="1" customWidth="1"/>
    <col min="22" max="22" width="9.140625" style="3" customWidth="1"/>
    <col min="23" max="16384" width="9.140625" style="3"/>
  </cols>
  <sheetData>
    <row r="1" spans="2:21" ht="18" thickBot="1" x14ac:dyDescent="0.35">
      <c r="B1" s="22" t="s">
        <v>151</v>
      </c>
      <c r="C1" s="22"/>
      <c r="D1" s="22"/>
      <c r="E1" s="22"/>
      <c r="F1" s="22"/>
      <c r="G1" s="22"/>
      <c r="H1" s="22" t="s">
        <v>154</v>
      </c>
      <c r="I1" s="22"/>
      <c r="J1" s="22"/>
      <c r="K1" s="22"/>
      <c r="L1" s="22"/>
      <c r="M1" s="22"/>
      <c r="N1" s="22"/>
      <c r="O1" s="22"/>
    </row>
    <row r="2" spans="2:21" ht="15.75" thickTop="1" x14ac:dyDescent="0.25">
      <c r="B2" s="27" t="s">
        <v>152</v>
      </c>
      <c r="D2" s="29"/>
      <c r="E2" s="29"/>
      <c r="F2" s="29"/>
      <c r="J2" s="24" t="s">
        <v>153</v>
      </c>
      <c r="L2" s="23">
        <f ca="1">TODAY()</f>
        <v>41432</v>
      </c>
      <c r="R2" s="3" t="s">
        <v>6</v>
      </c>
      <c r="S2" s="3" t="s">
        <v>7</v>
      </c>
      <c r="T2" s="3" t="s">
        <v>8</v>
      </c>
    </row>
    <row r="3" spans="2:21" ht="15" x14ac:dyDescent="0.25">
      <c r="B3" s="28"/>
      <c r="D3" s="29"/>
      <c r="E3" s="29"/>
      <c r="F3" s="29"/>
      <c r="R3" s="3" t="s">
        <v>9</v>
      </c>
      <c r="S3" s="3">
        <v>0.127</v>
      </c>
      <c r="T3" s="3">
        <v>8.1999999999999993</v>
      </c>
    </row>
    <row r="4" spans="2:21" ht="15" x14ac:dyDescent="0.25">
      <c r="D4" s="29"/>
      <c r="E4" s="29"/>
      <c r="F4" s="29"/>
      <c r="R4" s="3" t="s">
        <v>1</v>
      </c>
      <c r="S4" s="3">
        <v>0.127</v>
      </c>
      <c r="T4" s="3">
        <v>8.1999999999999993</v>
      </c>
    </row>
    <row r="5" spans="2:21" ht="15" x14ac:dyDescent="0.25">
      <c r="D5" s="29"/>
      <c r="E5" s="29"/>
      <c r="F5" s="29"/>
      <c r="R5" s="3" t="s">
        <v>2</v>
      </c>
      <c r="S5" s="3">
        <v>0.127</v>
      </c>
      <c r="T5" s="3">
        <v>8.1999999999999993</v>
      </c>
    </row>
    <row r="6" spans="2:21" x14ac:dyDescent="0.2">
      <c r="B6" s="4" t="s">
        <v>23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3" t="s">
        <v>57</v>
      </c>
      <c r="R6" s="3" t="s">
        <v>3</v>
      </c>
      <c r="S6" s="3">
        <v>8.5999999999999993E-2</v>
      </c>
      <c r="T6" s="3">
        <v>5.7</v>
      </c>
    </row>
    <row r="7" spans="2:21" x14ac:dyDescent="0.2">
      <c r="P7" s="3" t="s">
        <v>57</v>
      </c>
      <c r="R7" s="3" t="s">
        <v>4</v>
      </c>
      <c r="S7" s="3">
        <v>8.5999999999999993E-2</v>
      </c>
      <c r="T7" s="3">
        <v>5.7</v>
      </c>
    </row>
    <row r="8" spans="2:21" x14ac:dyDescent="0.2">
      <c r="B8" s="5" t="s">
        <v>0</v>
      </c>
      <c r="C8" s="5"/>
      <c r="D8" s="6"/>
      <c r="E8" s="5"/>
      <c r="F8" s="3" t="s">
        <v>12</v>
      </c>
      <c r="H8" s="6"/>
      <c r="J8" s="3" t="s">
        <v>33</v>
      </c>
      <c r="L8" s="6"/>
      <c r="M8" s="3" t="s">
        <v>57</v>
      </c>
      <c r="N8" s="3" t="s">
        <v>58</v>
      </c>
      <c r="O8" s="6"/>
      <c r="R8" s="3" t="s">
        <v>5</v>
      </c>
      <c r="S8" s="3">
        <v>8.5999999999999993E-2</v>
      </c>
      <c r="T8" s="3">
        <v>5.7</v>
      </c>
    </row>
    <row r="9" spans="2:21" x14ac:dyDescent="0.2">
      <c r="B9" s="3" t="s">
        <v>10</v>
      </c>
      <c r="D9" s="6"/>
      <c r="F9" s="3" t="s">
        <v>13</v>
      </c>
      <c r="H9" s="6"/>
      <c r="J9" s="3" t="s">
        <v>42</v>
      </c>
      <c r="L9" s="6"/>
      <c r="M9" s="3" t="s">
        <v>57</v>
      </c>
      <c r="N9" s="3" t="s">
        <v>59</v>
      </c>
      <c r="O9" s="6">
        <v>0</v>
      </c>
    </row>
    <row r="10" spans="2:21" x14ac:dyDescent="0.2">
      <c r="B10" s="3" t="s">
        <v>11</v>
      </c>
      <c r="D10" s="6"/>
      <c r="F10" s="3" t="s">
        <v>14</v>
      </c>
      <c r="H10" s="6"/>
      <c r="J10" s="3" t="s">
        <v>43</v>
      </c>
      <c r="L10" s="6"/>
      <c r="M10" s="3" t="s">
        <v>57</v>
      </c>
      <c r="R10" s="3" t="s">
        <v>22</v>
      </c>
    </row>
    <row r="11" spans="2:21" x14ac:dyDescent="0.2">
      <c r="R11" s="3" t="s">
        <v>16</v>
      </c>
      <c r="S11" s="3">
        <v>30</v>
      </c>
      <c r="U11" s="3">
        <v>0</v>
      </c>
    </row>
    <row r="12" spans="2:21" ht="15" customHeight="1" x14ac:dyDescent="0.2">
      <c r="B12" s="4" t="s">
        <v>24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R12" s="3" t="s">
        <v>17</v>
      </c>
      <c r="S12" s="3">
        <v>30</v>
      </c>
      <c r="U12" s="3">
        <v>2000</v>
      </c>
    </row>
    <row r="13" spans="2:21" x14ac:dyDescent="0.2">
      <c r="R13" s="3" t="s">
        <v>18</v>
      </c>
      <c r="S13" s="3">
        <v>26.9</v>
      </c>
      <c r="U13" s="3">
        <v>3000</v>
      </c>
    </row>
    <row r="14" spans="2:21" x14ac:dyDescent="0.2">
      <c r="B14" s="7" t="s">
        <v>10</v>
      </c>
      <c r="C14" s="11"/>
      <c r="D14" s="11" t="s">
        <v>66</v>
      </c>
      <c r="E14" s="5"/>
      <c r="H14" s="7" t="s">
        <v>67</v>
      </c>
      <c r="I14" s="7"/>
      <c r="J14" s="7" t="s">
        <v>13</v>
      </c>
      <c r="L14" s="7" t="s">
        <v>14</v>
      </c>
      <c r="N14" s="7" t="s">
        <v>31</v>
      </c>
      <c r="R14" s="3" t="s">
        <v>15</v>
      </c>
      <c r="S14" s="3">
        <v>29.4</v>
      </c>
    </row>
    <row r="15" spans="2:21" x14ac:dyDescent="0.2">
      <c r="B15" s="8">
        <f>D9</f>
        <v>0</v>
      </c>
      <c r="D15" s="6"/>
      <c r="F15" s="8">
        <f>B15*D15</f>
        <v>0</v>
      </c>
      <c r="H15" s="9"/>
      <c r="N15" s="7" t="s">
        <v>32</v>
      </c>
      <c r="R15" s="3" t="s">
        <v>19</v>
      </c>
      <c r="S15" s="3">
        <v>27.5</v>
      </c>
    </row>
    <row r="16" spans="2:21" ht="15" x14ac:dyDescent="0.25">
      <c r="B16" s="7" t="s">
        <v>11</v>
      </c>
      <c r="C16" s="7"/>
      <c r="D16" s="11" t="s">
        <v>66</v>
      </c>
      <c r="F16" s="9" t="s">
        <v>30</v>
      </c>
      <c r="G16" s="9" t="s">
        <v>29</v>
      </c>
      <c r="H16" s="8">
        <f>F15+F17</f>
        <v>0</v>
      </c>
      <c r="I16" s="9" t="s">
        <v>65</v>
      </c>
      <c r="J16" s="8">
        <f>H9</f>
        <v>0</v>
      </c>
      <c r="K16" s="9" t="s">
        <v>65</v>
      </c>
      <c r="L16" s="8">
        <f>H10</f>
        <v>0</v>
      </c>
      <c r="M16" s="9" t="s">
        <v>29</v>
      </c>
      <c r="N16" s="2">
        <f>H16*J16*L16</f>
        <v>0</v>
      </c>
      <c r="O16" s="3" t="s">
        <v>68</v>
      </c>
      <c r="R16" s="3" t="s">
        <v>20</v>
      </c>
      <c r="S16" s="3">
        <v>27.5</v>
      </c>
    </row>
    <row r="17" spans="2:19" ht="15" x14ac:dyDescent="0.25">
      <c r="B17" s="8">
        <f>D10</f>
        <v>0</v>
      </c>
      <c r="C17" s="5"/>
      <c r="D17" s="6"/>
      <c r="E17" s="5"/>
      <c r="F17" s="8">
        <f>D17*B17</f>
        <v>0</v>
      </c>
      <c r="H17" s="9"/>
      <c r="P17"/>
      <c r="R17" s="3" t="s">
        <v>21</v>
      </c>
      <c r="S17" s="3">
        <v>25</v>
      </c>
    </row>
    <row r="18" spans="2:19" ht="15" x14ac:dyDescent="0.25">
      <c r="L18" s="7" t="s">
        <v>31</v>
      </c>
      <c r="N18" s="7" t="s">
        <v>69</v>
      </c>
      <c r="P18"/>
    </row>
    <row r="19" spans="2:19" ht="15" x14ac:dyDescent="0.25">
      <c r="L19" s="7" t="s">
        <v>32</v>
      </c>
      <c r="N19" s="7" t="s">
        <v>32</v>
      </c>
      <c r="P19"/>
    </row>
    <row r="20" spans="2:19" ht="15" x14ac:dyDescent="0.25">
      <c r="J20" s="10">
        <v>0.9</v>
      </c>
      <c r="K20" s="9" t="s">
        <v>65</v>
      </c>
      <c r="L20" s="2">
        <f>N16</f>
        <v>0</v>
      </c>
      <c r="N20" s="2">
        <f>L20*J20</f>
        <v>0</v>
      </c>
      <c r="O20" s="3" t="s">
        <v>68</v>
      </c>
      <c r="P20"/>
    </row>
    <row r="21" spans="2:19" x14ac:dyDescent="0.2">
      <c r="R21" s="3" t="s">
        <v>34</v>
      </c>
    </row>
    <row r="22" spans="2:19" x14ac:dyDescent="0.2">
      <c r="B22" s="4" t="s">
        <v>25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R22" s="3" t="s">
        <v>63</v>
      </c>
      <c r="S22" s="3">
        <v>2</v>
      </c>
    </row>
    <row r="23" spans="2:19" x14ac:dyDescent="0.2">
      <c r="F23" s="7" t="s">
        <v>70</v>
      </c>
      <c r="R23" s="3" t="s">
        <v>64</v>
      </c>
      <c r="S23" s="3">
        <v>3.1</v>
      </c>
    </row>
    <row r="24" spans="2:19" x14ac:dyDescent="0.2">
      <c r="B24" s="7" t="s">
        <v>10</v>
      </c>
      <c r="C24" s="7"/>
      <c r="D24" s="7" t="s">
        <v>11</v>
      </c>
      <c r="F24" s="7" t="s">
        <v>71</v>
      </c>
      <c r="H24" s="7" t="s">
        <v>14</v>
      </c>
      <c r="J24" s="3" t="s">
        <v>72</v>
      </c>
      <c r="R24" s="3" t="s">
        <v>62</v>
      </c>
      <c r="S24" s="3">
        <v>3.7</v>
      </c>
    </row>
    <row r="25" spans="2:19" ht="15" x14ac:dyDescent="0.25">
      <c r="B25" s="2">
        <f>D9</f>
        <v>0</v>
      </c>
      <c r="C25" s="9" t="s">
        <v>65</v>
      </c>
      <c r="D25" s="2">
        <f>D10</f>
        <v>0</v>
      </c>
      <c r="E25" s="9" t="s">
        <v>29</v>
      </c>
      <c r="F25" s="2">
        <f>B25*D25</f>
        <v>0</v>
      </c>
      <c r="G25" s="9" t="s">
        <v>65</v>
      </c>
      <c r="H25" s="2">
        <f>H10</f>
        <v>0</v>
      </c>
      <c r="I25" s="9" t="s">
        <v>29</v>
      </c>
      <c r="J25" s="2">
        <f>F25*H25</f>
        <v>0</v>
      </c>
      <c r="K25" s="3" t="s">
        <v>68</v>
      </c>
      <c r="R25" s="3" t="s">
        <v>61</v>
      </c>
      <c r="S25" s="3">
        <v>4.8</v>
      </c>
    </row>
    <row r="26" spans="2:19" x14ac:dyDescent="0.2">
      <c r="R26" s="3" t="s">
        <v>60</v>
      </c>
      <c r="S26" s="3">
        <v>5.7</v>
      </c>
    </row>
    <row r="27" spans="2:19" x14ac:dyDescent="0.2">
      <c r="B27" s="7" t="s">
        <v>72</v>
      </c>
      <c r="C27" s="7"/>
      <c r="D27" s="7" t="s">
        <v>74</v>
      </c>
      <c r="F27" s="7" t="s">
        <v>73</v>
      </c>
      <c r="H27" s="3" t="s">
        <v>75</v>
      </c>
      <c r="J27" s="3" t="s">
        <v>76</v>
      </c>
      <c r="L27" s="3" t="s">
        <v>77</v>
      </c>
      <c r="N27" s="3" t="s">
        <v>78</v>
      </c>
    </row>
    <row r="28" spans="2:19" ht="15" x14ac:dyDescent="0.25">
      <c r="B28" s="2">
        <f>J25</f>
        <v>0</v>
      </c>
      <c r="C28" s="9" t="s">
        <v>65</v>
      </c>
      <c r="D28" s="2" t="e">
        <f>VLOOKUP(D8,P_Type_Tab,2,FALSE)</f>
        <v>#N/A</v>
      </c>
      <c r="E28" s="9" t="s">
        <v>30</v>
      </c>
      <c r="F28" s="2" t="e">
        <f>VLOOKUP(D8,P_Type_Tab,3,FALSE)</f>
        <v>#N/A</v>
      </c>
      <c r="G28" s="9" t="s">
        <v>29</v>
      </c>
      <c r="H28" s="2" t="e">
        <f>(B28*D28)+F28</f>
        <v>#N/A</v>
      </c>
      <c r="J28" s="1"/>
      <c r="K28" s="9" t="s">
        <v>65</v>
      </c>
      <c r="L28" s="2" t="e">
        <f>IF(L29="",VLOOKUP(O8,Win_Type_Tab,2,FALSE),L29)</f>
        <v>#N/A</v>
      </c>
      <c r="M28" s="9" t="s">
        <v>29</v>
      </c>
      <c r="N28" s="12" t="e">
        <f>IF(J28="",H28*L28,J28*L28)</f>
        <v>#N/A</v>
      </c>
      <c r="O28" s="3" t="s">
        <v>84</v>
      </c>
      <c r="R28" s="3" t="s">
        <v>35</v>
      </c>
    </row>
    <row r="29" spans="2:19" ht="15" x14ac:dyDescent="0.25">
      <c r="L29" s="18"/>
      <c r="N29" s="13"/>
      <c r="R29" s="3" t="s">
        <v>36</v>
      </c>
    </row>
    <row r="30" spans="2:19" x14ac:dyDescent="0.2">
      <c r="B30" s="7" t="s">
        <v>31</v>
      </c>
      <c r="N30" s="13"/>
      <c r="R30" s="3" t="s">
        <v>37</v>
      </c>
      <c r="S30" s="3">
        <v>0.35</v>
      </c>
    </row>
    <row r="31" spans="2:19" x14ac:dyDescent="0.2">
      <c r="B31" s="7" t="s">
        <v>32</v>
      </c>
      <c r="D31" s="3" t="s">
        <v>76</v>
      </c>
      <c r="F31" s="3" t="s">
        <v>79</v>
      </c>
      <c r="L31" s="3" t="s">
        <v>80</v>
      </c>
      <c r="N31" s="13" t="s">
        <v>81</v>
      </c>
      <c r="R31" s="3" t="s">
        <v>38</v>
      </c>
      <c r="S31" s="3">
        <v>0.45</v>
      </c>
    </row>
    <row r="32" spans="2:19" ht="15" x14ac:dyDescent="0.25">
      <c r="B32" s="2">
        <f>N16</f>
        <v>0</v>
      </c>
      <c r="C32" s="9" t="s">
        <v>28</v>
      </c>
      <c r="D32" s="2" t="e">
        <f>IF(J28="",H28,J28)</f>
        <v>#N/A</v>
      </c>
      <c r="E32" s="9" t="s">
        <v>29</v>
      </c>
      <c r="F32" s="2" t="e">
        <f>B32-D32</f>
        <v>#N/A</v>
      </c>
      <c r="K32" s="9" t="s">
        <v>65</v>
      </c>
      <c r="L32" s="2" t="e">
        <f>IF(L33="",VLOOKUP(L8,Wall_Type_Tab,2,FALSE),L33)</f>
        <v>#N/A</v>
      </c>
      <c r="M32" s="9" t="s">
        <v>29</v>
      </c>
      <c r="N32" s="12" t="e">
        <f>L32*F32</f>
        <v>#N/A</v>
      </c>
      <c r="O32" s="3" t="s">
        <v>84</v>
      </c>
      <c r="R32" s="3" t="s">
        <v>39</v>
      </c>
      <c r="S32" s="3">
        <v>2.1</v>
      </c>
    </row>
    <row r="33" spans="2:19" ht="15" x14ac:dyDescent="0.25">
      <c r="L33" s="18"/>
      <c r="N33" s="13"/>
      <c r="R33" s="3" t="s">
        <v>40</v>
      </c>
      <c r="S33" s="3">
        <v>1.6</v>
      </c>
    </row>
    <row r="34" spans="2:19" x14ac:dyDescent="0.2">
      <c r="N34" s="13"/>
      <c r="R34" s="3" t="s">
        <v>41</v>
      </c>
      <c r="S34" s="3">
        <v>0.6</v>
      </c>
    </row>
    <row r="35" spans="2:19" x14ac:dyDescent="0.2">
      <c r="B35" s="4" t="s">
        <v>26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9" x14ac:dyDescent="0.2">
      <c r="F36" s="7" t="s">
        <v>70</v>
      </c>
      <c r="N36" s="13"/>
      <c r="R36" s="3" t="s">
        <v>44</v>
      </c>
      <c r="S36" s="3">
        <v>2.2999999999999998</v>
      </c>
    </row>
    <row r="37" spans="2:19" x14ac:dyDescent="0.2">
      <c r="F37" s="7" t="s">
        <v>71</v>
      </c>
      <c r="L37" s="7" t="s">
        <v>82</v>
      </c>
      <c r="N37" s="13" t="s">
        <v>83</v>
      </c>
      <c r="R37" s="3" t="s">
        <v>45</v>
      </c>
      <c r="S37" s="3">
        <v>1.5</v>
      </c>
    </row>
    <row r="38" spans="2:19" ht="15" x14ac:dyDescent="0.25">
      <c r="F38" s="2">
        <f>F25</f>
        <v>0</v>
      </c>
      <c r="K38" s="9" t="s">
        <v>65</v>
      </c>
      <c r="L38" s="2" t="e">
        <f>IF(L39="",VLOOKUP(L9,Roof_Type_Tab,2,FALSE),L39)</f>
        <v>#N/A</v>
      </c>
      <c r="M38" s="9" t="s">
        <v>29</v>
      </c>
      <c r="N38" s="12" t="e">
        <f>F38*L38</f>
        <v>#N/A</v>
      </c>
      <c r="O38" s="3" t="s">
        <v>84</v>
      </c>
      <c r="R38" s="3" t="s">
        <v>46</v>
      </c>
      <c r="S38" s="3">
        <v>0.4</v>
      </c>
    </row>
    <row r="39" spans="2:19" ht="15" x14ac:dyDescent="0.25">
      <c r="H39" s="3" t="s">
        <v>67</v>
      </c>
      <c r="L39" s="18"/>
      <c r="N39" s="13"/>
      <c r="R39" s="3" t="s">
        <v>47</v>
      </c>
      <c r="S39" s="3">
        <v>0.25</v>
      </c>
    </row>
    <row r="40" spans="2:19" ht="15" x14ac:dyDescent="0.25">
      <c r="F40" s="2">
        <f>F38</f>
        <v>0</v>
      </c>
      <c r="G40" s="9" t="s">
        <v>87</v>
      </c>
      <c r="H40" s="2">
        <f>H16</f>
        <v>0</v>
      </c>
      <c r="I40" s="9" t="s">
        <v>29</v>
      </c>
      <c r="J40" s="12" t="e">
        <f>F40/H40</f>
        <v>#DIV/0!</v>
      </c>
      <c r="N40" s="13"/>
      <c r="R40" s="3" t="s">
        <v>48</v>
      </c>
      <c r="S40" s="3">
        <v>0.2</v>
      </c>
    </row>
    <row r="41" spans="2:19" x14ac:dyDescent="0.2">
      <c r="L41" s="7" t="s">
        <v>85</v>
      </c>
      <c r="N41" s="13" t="s">
        <v>86</v>
      </c>
      <c r="R41" s="3" t="s">
        <v>49</v>
      </c>
      <c r="S41" s="3">
        <v>0.35</v>
      </c>
    </row>
    <row r="42" spans="2:19" ht="15" x14ac:dyDescent="0.25">
      <c r="F42" s="2">
        <f>F40</f>
        <v>0</v>
      </c>
      <c r="K42" s="9" t="s">
        <v>65</v>
      </c>
      <c r="L42" s="2" t="e">
        <f>IF(L43="",VLOOKUP(J40,Floor_Value,VLOOKUP(L10,Floor_Type_Tab,2,FALSE)+1,TRUE),L43)</f>
        <v>#DIV/0!</v>
      </c>
      <c r="M42" s="9" t="s">
        <v>29</v>
      </c>
      <c r="N42" s="12" t="e">
        <f>F42*L42</f>
        <v>#DIV/0!</v>
      </c>
      <c r="O42" s="3" t="s">
        <v>84</v>
      </c>
      <c r="R42" s="3" t="s">
        <v>50</v>
      </c>
      <c r="S42" s="3">
        <v>0.7</v>
      </c>
    </row>
    <row r="43" spans="2:19" ht="15" x14ac:dyDescent="0.25">
      <c r="I43"/>
      <c r="L43" s="18"/>
      <c r="R43" s="3" t="s">
        <v>51</v>
      </c>
      <c r="S43" s="3">
        <v>2.2999999999999998</v>
      </c>
    </row>
    <row r="45" spans="2:19" x14ac:dyDescent="0.2">
      <c r="B45" s="4" t="s">
        <v>27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19" x14ac:dyDescent="0.2">
      <c r="R46" s="3" t="s">
        <v>54</v>
      </c>
    </row>
    <row r="47" spans="2:19" x14ac:dyDescent="0.2">
      <c r="B47" s="7" t="s">
        <v>72</v>
      </c>
      <c r="C47" s="7"/>
      <c r="D47" s="7" t="s">
        <v>88</v>
      </c>
      <c r="R47" s="3" t="s">
        <v>55</v>
      </c>
      <c r="S47" s="3">
        <v>1</v>
      </c>
    </row>
    <row r="48" spans="2:19" ht="15" x14ac:dyDescent="0.25">
      <c r="B48" s="2">
        <f>B28</f>
        <v>0</v>
      </c>
      <c r="C48" s="9" t="s">
        <v>65</v>
      </c>
      <c r="D48" s="2">
        <f>H9</f>
        <v>0</v>
      </c>
      <c r="E48" s="9" t="s">
        <v>65</v>
      </c>
      <c r="F48" s="10">
        <v>0.76</v>
      </c>
      <c r="G48" s="9" t="s">
        <v>29</v>
      </c>
      <c r="H48" s="2">
        <f>B48*D48*F48</f>
        <v>0</v>
      </c>
      <c r="J48" s="7" t="s">
        <v>90</v>
      </c>
      <c r="N48" s="13" t="s">
        <v>92</v>
      </c>
      <c r="R48" s="3" t="s">
        <v>56</v>
      </c>
      <c r="S48" s="3">
        <v>2</v>
      </c>
    </row>
    <row r="49" spans="2:21" ht="15" x14ac:dyDescent="0.25">
      <c r="D49" s="3" t="s">
        <v>89</v>
      </c>
      <c r="H49" s="9" t="s">
        <v>30</v>
      </c>
      <c r="I49" s="9" t="s">
        <v>29</v>
      </c>
      <c r="J49" s="8">
        <f>H48+H50</f>
        <v>0</v>
      </c>
      <c r="K49" s="9" t="s">
        <v>65</v>
      </c>
      <c r="L49" s="10">
        <v>0.33</v>
      </c>
      <c r="N49" s="12">
        <f>J49*L49</f>
        <v>0</v>
      </c>
      <c r="O49" s="3" t="s">
        <v>84</v>
      </c>
      <c r="R49" s="3" t="s">
        <v>53</v>
      </c>
      <c r="S49" s="3">
        <v>3</v>
      </c>
    </row>
    <row r="50" spans="2:21" ht="15" x14ac:dyDescent="0.25">
      <c r="D50" s="2">
        <f>O9</f>
        <v>0</v>
      </c>
      <c r="E50" s="9" t="s">
        <v>65</v>
      </c>
      <c r="F50" s="10">
        <v>40</v>
      </c>
      <c r="G50" s="9" t="s">
        <v>29</v>
      </c>
      <c r="H50" s="2">
        <f>D50*F50</f>
        <v>0</v>
      </c>
    </row>
    <row r="51" spans="2:21" x14ac:dyDescent="0.2">
      <c r="L51" s="3" t="s">
        <v>101</v>
      </c>
      <c r="N51" s="3" t="s">
        <v>102</v>
      </c>
    </row>
    <row r="52" spans="2:21" ht="15" x14ac:dyDescent="0.25">
      <c r="L52" s="16">
        <v>0</v>
      </c>
      <c r="N52" s="12">
        <f>N49*(1-L52)</f>
        <v>0</v>
      </c>
      <c r="O52" s="3" t="s">
        <v>84</v>
      </c>
    </row>
    <row r="54" spans="2:21" x14ac:dyDescent="0.2">
      <c r="B54" s="4" t="s">
        <v>129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2:21" x14ac:dyDescent="0.2">
      <c r="B56" s="7" t="s">
        <v>10</v>
      </c>
      <c r="C56" s="11"/>
      <c r="D56" s="11" t="s">
        <v>130</v>
      </c>
      <c r="E56" s="5"/>
      <c r="G56" s="7"/>
      <c r="N56" s="7" t="s">
        <v>132</v>
      </c>
      <c r="R56" s="3" t="s">
        <v>134</v>
      </c>
      <c r="S56" s="3">
        <v>1.33</v>
      </c>
    </row>
    <row r="57" spans="2:21" x14ac:dyDescent="0.2">
      <c r="B57" s="8">
        <f>B15</f>
        <v>0</v>
      </c>
      <c r="D57" s="6"/>
      <c r="F57" s="8">
        <f>B57*D57</f>
        <v>0</v>
      </c>
      <c r="H57" s="7" t="s">
        <v>13</v>
      </c>
      <c r="J57" s="7" t="s">
        <v>14</v>
      </c>
      <c r="L57" s="3" t="s">
        <v>131</v>
      </c>
      <c r="N57" s="7" t="s">
        <v>133</v>
      </c>
      <c r="R57" s="3" t="s">
        <v>135</v>
      </c>
      <c r="S57" s="3">
        <v>1.02</v>
      </c>
    </row>
    <row r="58" spans="2:21" ht="15" x14ac:dyDescent="0.25">
      <c r="B58" s="7" t="s">
        <v>11</v>
      </c>
      <c r="C58" s="7"/>
      <c r="D58" s="11" t="s">
        <v>130</v>
      </c>
      <c r="F58" s="9" t="s">
        <v>30</v>
      </c>
      <c r="G58" s="9" t="s">
        <v>65</v>
      </c>
      <c r="H58" s="8">
        <v>10</v>
      </c>
      <c r="I58" s="9" t="s">
        <v>65</v>
      </c>
      <c r="J58" s="6"/>
      <c r="K58" s="9" t="s">
        <v>65</v>
      </c>
      <c r="L58" s="8">
        <f>IF(L59="",S56,L59)</f>
        <v>1.33</v>
      </c>
      <c r="M58" s="9" t="s">
        <v>29</v>
      </c>
      <c r="N58" s="12">
        <f>(F57+F59)*H58*J58*L58</f>
        <v>0</v>
      </c>
      <c r="O58" s="3" t="s">
        <v>84</v>
      </c>
      <c r="R58" s="3" t="s">
        <v>136</v>
      </c>
      <c r="S58" s="3">
        <v>1.02</v>
      </c>
    </row>
    <row r="59" spans="2:21" ht="15" x14ac:dyDescent="0.25">
      <c r="B59" s="8">
        <f>D10</f>
        <v>0</v>
      </c>
      <c r="C59" s="5"/>
      <c r="D59" s="6"/>
      <c r="E59" s="5"/>
      <c r="F59" s="8">
        <f>D59*B59</f>
        <v>0</v>
      </c>
      <c r="H59" s="9"/>
      <c r="L59" s="18"/>
      <c r="N59" s="13"/>
    </row>
    <row r="60" spans="2:21" x14ac:dyDescent="0.2">
      <c r="L60" s="7"/>
      <c r="N60" s="14" t="s">
        <v>140</v>
      </c>
    </row>
    <row r="61" spans="2:21" x14ac:dyDescent="0.2">
      <c r="J61" s="3" t="s">
        <v>138</v>
      </c>
      <c r="L61" s="7" t="s">
        <v>139</v>
      </c>
      <c r="N61" s="14" t="s">
        <v>133</v>
      </c>
    </row>
    <row r="62" spans="2:21" ht="15" x14ac:dyDescent="0.25">
      <c r="B62" s="3" t="s">
        <v>137</v>
      </c>
      <c r="J62" s="2">
        <f>F25</f>
        <v>0</v>
      </c>
      <c r="K62" s="9" t="s">
        <v>65</v>
      </c>
      <c r="L62" s="8">
        <f>IF(L63="",S57,L63)</f>
        <v>1.02</v>
      </c>
      <c r="M62" s="9" t="s">
        <v>29</v>
      </c>
      <c r="N62" s="12">
        <f>IF(OR(D8="Mid Flat",D8="Bottom Flat"),J62*L62,0)</f>
        <v>0</v>
      </c>
      <c r="O62" s="3" t="s">
        <v>84</v>
      </c>
    </row>
    <row r="63" spans="2:21" ht="15" x14ac:dyDescent="0.25">
      <c r="L63" s="18"/>
      <c r="N63" s="14"/>
      <c r="R63" s="3" t="s">
        <v>52</v>
      </c>
    </row>
    <row r="64" spans="2:21" x14ac:dyDescent="0.2">
      <c r="L64" s="7"/>
      <c r="N64" s="14" t="s">
        <v>141</v>
      </c>
      <c r="R64" s="3">
        <v>0</v>
      </c>
      <c r="S64" s="3">
        <v>1.41</v>
      </c>
      <c r="T64" s="3">
        <v>1.87</v>
      </c>
      <c r="U64" s="3">
        <v>0.63</v>
      </c>
    </row>
    <row r="65" spans="2:21" x14ac:dyDescent="0.2">
      <c r="J65" s="3" t="s">
        <v>138</v>
      </c>
      <c r="L65" s="7" t="s">
        <v>143</v>
      </c>
      <c r="N65" s="14" t="s">
        <v>133</v>
      </c>
      <c r="R65" s="3">
        <v>1</v>
      </c>
      <c r="S65" s="3">
        <v>1.08</v>
      </c>
      <c r="T65" s="3">
        <v>1.69</v>
      </c>
      <c r="U65" s="3">
        <v>0.67</v>
      </c>
    </row>
    <row r="66" spans="2:21" ht="15" x14ac:dyDescent="0.25">
      <c r="B66" s="3" t="s">
        <v>142</v>
      </c>
      <c r="J66" s="2">
        <f>J62</f>
        <v>0</v>
      </c>
      <c r="K66" s="9" t="s">
        <v>65</v>
      </c>
      <c r="L66" s="8">
        <f>IF(L67="",S58,L67)</f>
        <v>1.02</v>
      </c>
      <c r="M66" s="9" t="s">
        <v>29</v>
      </c>
      <c r="N66" s="12">
        <f>IF(OR(D8="Mid Flat",D8="Top Flat"),J66*L66,0)</f>
        <v>0</v>
      </c>
      <c r="O66" s="3" t="s">
        <v>84</v>
      </c>
      <c r="R66" s="3">
        <v>1.5</v>
      </c>
      <c r="S66" s="3">
        <v>0.98</v>
      </c>
      <c r="T66" s="3">
        <v>1.52</v>
      </c>
      <c r="U66" s="3">
        <v>0.67</v>
      </c>
    </row>
    <row r="67" spans="2:21" ht="15" x14ac:dyDescent="0.25">
      <c r="L67" s="18"/>
      <c r="N67" s="14"/>
      <c r="R67" s="3">
        <v>2</v>
      </c>
      <c r="S67" s="3">
        <v>0.9</v>
      </c>
      <c r="T67" s="3">
        <v>1.38</v>
      </c>
      <c r="U67" s="3">
        <v>0.66</v>
      </c>
    </row>
    <row r="68" spans="2:21" x14ac:dyDescent="0.2">
      <c r="H68" s="3" t="s">
        <v>144</v>
      </c>
      <c r="N68" s="14" t="s">
        <v>145</v>
      </c>
      <c r="R68" s="3">
        <v>2.5</v>
      </c>
      <c r="S68" s="3">
        <v>0.84</v>
      </c>
      <c r="T68" s="3">
        <v>1.27</v>
      </c>
      <c r="U68" s="3">
        <v>0.64</v>
      </c>
    </row>
    <row r="69" spans="2:21" ht="15" x14ac:dyDescent="0.25">
      <c r="H69" s="12">
        <f>N58+N62+N66</f>
        <v>0</v>
      </c>
      <c r="K69" s="9" t="s">
        <v>65</v>
      </c>
      <c r="L69" s="10">
        <v>10.6</v>
      </c>
      <c r="M69" s="9" t="s">
        <v>29</v>
      </c>
      <c r="N69" s="12">
        <f>H69*L69</f>
        <v>0</v>
      </c>
      <c r="O69" s="3" t="s">
        <v>146</v>
      </c>
      <c r="R69" s="3">
        <v>3</v>
      </c>
      <c r="S69" s="3">
        <v>0.73</v>
      </c>
      <c r="T69" s="3">
        <v>1.0900000000000001</v>
      </c>
      <c r="U69" s="3">
        <v>0.6</v>
      </c>
    </row>
    <row r="70" spans="2:21" x14ac:dyDescent="0.2">
      <c r="N70" s="7"/>
      <c r="R70" s="3">
        <v>4</v>
      </c>
      <c r="S70" s="3">
        <v>0.66</v>
      </c>
      <c r="T70" s="3">
        <v>0.96</v>
      </c>
      <c r="U70" s="3">
        <v>0.56000000000000005</v>
      </c>
    </row>
    <row r="71" spans="2:21" x14ac:dyDescent="0.2">
      <c r="B71" s="4" t="s">
        <v>127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R71" s="3">
        <v>5</v>
      </c>
      <c r="S71" s="3">
        <v>0.44</v>
      </c>
      <c r="T71" s="3">
        <v>0.62</v>
      </c>
      <c r="U71" s="3">
        <v>0.41</v>
      </c>
    </row>
    <row r="72" spans="2:21" x14ac:dyDescent="0.2">
      <c r="R72" s="3">
        <v>10</v>
      </c>
      <c r="S72" s="3">
        <v>0.27</v>
      </c>
      <c r="T72" s="3">
        <v>0.38</v>
      </c>
      <c r="U72" s="3">
        <v>0.27</v>
      </c>
    </row>
    <row r="73" spans="2:21" x14ac:dyDescent="0.2">
      <c r="B73" s="7" t="s">
        <v>78</v>
      </c>
      <c r="C73" s="7"/>
      <c r="D73" s="14" t="s">
        <v>81</v>
      </c>
      <c r="E73" s="7"/>
      <c r="F73" s="14" t="s">
        <v>83</v>
      </c>
      <c r="G73" s="7"/>
      <c r="H73" s="14" t="s">
        <v>86</v>
      </c>
      <c r="I73" s="7"/>
      <c r="J73" s="14" t="s">
        <v>91</v>
      </c>
      <c r="L73" s="3" t="s">
        <v>93</v>
      </c>
      <c r="N73" s="3" t="s">
        <v>94</v>
      </c>
      <c r="R73" s="3">
        <v>20</v>
      </c>
      <c r="S73" s="3">
        <v>0.16</v>
      </c>
      <c r="T73" s="3">
        <v>0.22</v>
      </c>
      <c r="U73" s="3">
        <v>0.17</v>
      </c>
    </row>
    <row r="74" spans="2:21" ht="15" x14ac:dyDescent="0.25">
      <c r="B74" s="12" t="e">
        <f>N28</f>
        <v>#N/A</v>
      </c>
      <c r="C74" s="9" t="s">
        <v>30</v>
      </c>
      <c r="D74" s="12" t="e">
        <f>N32</f>
        <v>#N/A</v>
      </c>
      <c r="E74" s="9" t="s">
        <v>30</v>
      </c>
      <c r="F74" s="12" t="e">
        <f>N38</f>
        <v>#N/A</v>
      </c>
      <c r="G74" s="9" t="s">
        <v>30</v>
      </c>
      <c r="H74" s="12" t="e">
        <f>N42</f>
        <v>#DIV/0!</v>
      </c>
      <c r="I74" s="9" t="s">
        <v>30</v>
      </c>
      <c r="J74" s="12">
        <f>N52</f>
        <v>0</v>
      </c>
      <c r="K74" s="9" t="s">
        <v>65</v>
      </c>
      <c r="L74" s="2" t="e">
        <f>VLOOKUP(H8,Loc_Fact_Tab,2,FALSE)</f>
        <v>#N/A</v>
      </c>
      <c r="M74" s="9" t="s">
        <v>29</v>
      </c>
      <c r="N74" s="12" t="e">
        <f>(B74+D74+F74+H74+J74)*L74</f>
        <v>#N/A</v>
      </c>
      <c r="O74" s="3" t="s">
        <v>84</v>
      </c>
    </row>
    <row r="76" spans="2:21" x14ac:dyDescent="0.2">
      <c r="B76" s="4" t="s">
        <v>128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21" x14ac:dyDescent="0.2">
      <c r="S77" s="3" t="s">
        <v>148</v>
      </c>
    </row>
    <row r="78" spans="2:21" ht="15" x14ac:dyDescent="0.25">
      <c r="D78" s="19" t="s">
        <v>147</v>
      </c>
      <c r="F78" s="1" t="s">
        <v>149</v>
      </c>
      <c r="J78" s="3" t="s">
        <v>95</v>
      </c>
      <c r="L78" s="1">
        <v>0</v>
      </c>
      <c r="S78" s="3" t="s">
        <v>149</v>
      </c>
    </row>
    <row r="80" spans="2:21" x14ac:dyDescent="0.2">
      <c r="D80" s="3" t="s">
        <v>96</v>
      </c>
      <c r="F80" s="3" t="s">
        <v>97</v>
      </c>
      <c r="H80" s="3" t="s">
        <v>150</v>
      </c>
      <c r="J80" s="3" t="s">
        <v>150</v>
      </c>
      <c r="N80" s="3" t="s">
        <v>98</v>
      </c>
    </row>
    <row r="81" spans="2:15" ht="15" x14ac:dyDescent="0.25">
      <c r="B81" s="2">
        <f>IF(F78="Yes", IF(L78&gt;N69,L78,N69),L78)</f>
        <v>0</v>
      </c>
      <c r="C81" s="9" t="s">
        <v>30</v>
      </c>
      <c r="D81" s="12" t="e">
        <f>N74</f>
        <v>#N/A</v>
      </c>
      <c r="E81" s="9" t="s">
        <v>30</v>
      </c>
      <c r="F81" s="10">
        <v>400</v>
      </c>
      <c r="G81" s="9" t="s">
        <v>30</v>
      </c>
      <c r="H81" s="21">
        <f>IF(ISNA('Additional Element - 1'!N72),0,'Additional Element - 1'!N72)</f>
        <v>0</v>
      </c>
      <c r="I81" s="9" t="s">
        <v>30</v>
      </c>
      <c r="J81" s="21">
        <f>IF(ISNA('Additional Element - 2'!N72),0,'Additional Element - 2'!N72)</f>
        <v>0</v>
      </c>
      <c r="K81" s="9" t="s">
        <v>87</v>
      </c>
      <c r="L81" s="10">
        <v>1000</v>
      </c>
      <c r="M81" s="9" t="s">
        <v>29</v>
      </c>
      <c r="N81" s="15" t="e">
        <f>(B81+D81+F81+H81+J81)/L81</f>
        <v>#N/A</v>
      </c>
      <c r="O81" s="3" t="s">
        <v>99</v>
      </c>
    </row>
    <row r="83" spans="2:15" x14ac:dyDescent="0.2">
      <c r="D83" s="3" t="s">
        <v>96</v>
      </c>
      <c r="F83" s="3" t="s">
        <v>97</v>
      </c>
      <c r="H83" s="3" t="s">
        <v>150</v>
      </c>
      <c r="J83" s="3" t="s">
        <v>150</v>
      </c>
      <c r="N83" s="3" t="s">
        <v>100</v>
      </c>
    </row>
    <row r="84" spans="2:15" ht="15" x14ac:dyDescent="0.25">
      <c r="D84" s="12" t="e">
        <f>D81</f>
        <v>#N/A</v>
      </c>
      <c r="E84" s="9" t="s">
        <v>30</v>
      </c>
      <c r="F84" s="10">
        <v>400</v>
      </c>
      <c r="G84" s="9" t="s">
        <v>30</v>
      </c>
      <c r="H84" s="2">
        <f>H81</f>
        <v>0</v>
      </c>
      <c r="I84" s="9" t="s">
        <v>30</v>
      </c>
      <c r="J84" s="2">
        <f>J81</f>
        <v>0</v>
      </c>
      <c r="K84" s="9" t="s">
        <v>87</v>
      </c>
      <c r="L84" s="10">
        <v>1150</v>
      </c>
      <c r="M84" s="9" t="s">
        <v>29</v>
      </c>
      <c r="N84" s="15" t="e">
        <f>(B84+D84+F84+H84+J84)/L84</f>
        <v>#N/A</v>
      </c>
      <c r="O84" s="3" t="s">
        <v>99</v>
      </c>
    </row>
    <row r="86" spans="2:15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9" spans="2:15" ht="15" x14ac:dyDescent="0.25">
      <c r="B89" s="2">
        <v>123.45</v>
      </c>
      <c r="D89" s="24" t="s">
        <v>158</v>
      </c>
      <c r="E89" s="24"/>
      <c r="F89" s="24"/>
      <c r="H89" s="1">
        <v>3.2</v>
      </c>
      <c r="J89" s="26" t="s">
        <v>159</v>
      </c>
      <c r="L89" s="25">
        <v>0.375</v>
      </c>
      <c r="N89" s="26" t="s">
        <v>160</v>
      </c>
    </row>
  </sheetData>
  <dataConsolidate/>
  <mergeCells count="5">
    <mergeCell ref="B2:B3"/>
    <mergeCell ref="D2:F2"/>
    <mergeCell ref="D3:F3"/>
    <mergeCell ref="D4:F4"/>
    <mergeCell ref="D5:F5"/>
  </mergeCells>
  <dataValidations count="13">
    <dataValidation type="list" allowBlank="1" showInputMessage="1" showErrorMessage="1" sqref="D8:E8">
      <formula1>P_Type</formula1>
    </dataValidation>
    <dataValidation type="list" allowBlank="1" showInputMessage="1" showErrorMessage="1" sqref="H8">
      <formula1>Loc_Fact</formula1>
    </dataValidation>
    <dataValidation type="list" allowBlank="1" showInputMessage="1" showErrorMessage="1" sqref="L8">
      <formula1>Wall_Type</formula1>
    </dataValidation>
    <dataValidation type="list" allowBlank="1" showInputMessage="1" showErrorMessage="1" sqref="L9">
      <formula1>Roof_Type</formula1>
    </dataValidation>
    <dataValidation type="list" allowBlank="1" showInputMessage="1" showErrorMessage="1" sqref="L10">
      <formula1>Floor_Type</formula1>
    </dataValidation>
    <dataValidation type="list" allowBlank="1" showInputMessage="1" showErrorMessage="1" sqref="O8">
      <formula1>Win_Type</formula1>
    </dataValidation>
    <dataValidation type="list" allowBlank="1" showInputMessage="1" showErrorMessage="1" sqref="L78">
      <formula1>$U$11:$U$13</formula1>
    </dataValidation>
    <dataValidation type="list" allowBlank="1" showInputMessage="1" showErrorMessage="1" sqref="F78">
      <formula1>$S$77:$S$78</formula1>
    </dataValidation>
    <dataValidation allowBlank="1" showInputMessage="1" showErrorMessage="1" promptTitle="Window u-Value" prompt="Enter the correct u-Value for Windows if known" sqref="L29"/>
    <dataValidation allowBlank="1" showInputMessage="1" showErrorMessage="1" promptTitle="Wall u-Value" prompt="Enter the correct u-Value for Walls  if known" sqref="L33"/>
    <dataValidation allowBlank="1" showInputMessage="1" showErrorMessage="1" promptTitle="Roof u-Value" prompt="Enter the correct u-Value for Roof if known" sqref="L39"/>
    <dataValidation allowBlank="1" showInputMessage="1" showErrorMessage="1" promptTitle="Floor u-Value" prompt="Enter the correct u-Value for Floors if known" sqref="L43"/>
    <dataValidation allowBlank="1" showInputMessage="1" showErrorMessage="1" promptTitle="u-Value" prompt="Enter correct value if known" sqref="L59 L63 L67"/>
  </dataValidations>
  <pageMargins left="0.23622047244094491" right="0.23622047244094491" top="0.19685039370078741" bottom="0.19685039370078741" header="0.31496062992125984" footer="0.31496062992125984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4"/>
  <sheetViews>
    <sheetView tabSelected="1" workbookViewId="0"/>
  </sheetViews>
  <sheetFormatPr defaultRowHeight="12.75" x14ac:dyDescent="0.2"/>
  <cols>
    <col min="1" max="1" width="9.140625" style="3"/>
    <col min="2" max="2" width="14.7109375" style="3" customWidth="1"/>
    <col min="3" max="3" width="2.28515625" style="3" customWidth="1"/>
    <col min="4" max="4" width="16.7109375" style="3" customWidth="1"/>
    <col min="5" max="5" width="2.28515625" style="3" customWidth="1"/>
    <col min="6" max="6" width="14.7109375" style="3" customWidth="1"/>
    <col min="7" max="7" width="2.28515625" style="3" customWidth="1"/>
    <col min="8" max="8" width="16.7109375" style="3" customWidth="1"/>
    <col min="9" max="9" width="2.28515625" style="3" customWidth="1"/>
    <col min="10" max="10" width="14.7109375" style="3" customWidth="1"/>
    <col min="11" max="11" width="2.28515625" style="3" customWidth="1"/>
    <col min="12" max="12" width="16.7109375" style="3" customWidth="1"/>
    <col min="13" max="13" width="2.28515625" style="3" customWidth="1"/>
    <col min="14" max="14" width="14.7109375" style="3" customWidth="1"/>
    <col min="15" max="15" width="16.7109375" style="3" customWidth="1"/>
    <col min="16" max="16" width="9.140625" style="3"/>
    <col min="17" max="17" width="9.140625" style="3" hidden="1" customWidth="1"/>
    <col min="18" max="18" width="22.140625" style="3" hidden="1" customWidth="1"/>
    <col min="19" max="21" width="9.140625" style="3" hidden="1" customWidth="1"/>
    <col min="22" max="22" width="0" style="3" hidden="1" customWidth="1"/>
    <col min="23" max="16384" width="9.140625" style="3"/>
  </cols>
  <sheetData>
    <row r="1" spans="2:21" ht="18" thickBot="1" x14ac:dyDescent="0.35">
      <c r="B1" s="22" t="s">
        <v>151</v>
      </c>
      <c r="C1" s="22"/>
      <c r="D1" s="22"/>
      <c r="E1" s="22"/>
      <c r="F1" s="22"/>
      <c r="G1" s="22"/>
      <c r="H1" s="22" t="s">
        <v>157</v>
      </c>
      <c r="I1" s="22"/>
      <c r="J1" s="22"/>
      <c r="K1" s="22"/>
      <c r="L1" s="22"/>
      <c r="M1" s="22"/>
      <c r="N1" s="22"/>
      <c r="O1" s="22"/>
    </row>
    <row r="2" spans="2:21" ht="15.75" thickTop="1" x14ac:dyDescent="0.25">
      <c r="B2" s="3" t="s">
        <v>155</v>
      </c>
      <c r="D2" s="30">
        <f>'Master Calculation'!D2:F2</f>
        <v>0</v>
      </c>
      <c r="E2" s="30"/>
      <c r="F2" s="30"/>
      <c r="J2" s="3" t="s">
        <v>153</v>
      </c>
      <c r="L2" s="23">
        <f ca="1">TODAY()</f>
        <v>41432</v>
      </c>
      <c r="R2" s="3" t="s">
        <v>6</v>
      </c>
      <c r="S2" s="3" t="s">
        <v>7</v>
      </c>
      <c r="T2" s="3" t="s">
        <v>8</v>
      </c>
    </row>
    <row r="3" spans="2:21" x14ac:dyDescent="0.2">
      <c r="R3" s="3" t="s">
        <v>9</v>
      </c>
      <c r="S3" s="3">
        <v>0.127</v>
      </c>
      <c r="T3" s="3">
        <v>8.1999999999999993</v>
      </c>
    </row>
    <row r="4" spans="2:21" x14ac:dyDescent="0.2">
      <c r="B4" s="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3" t="s">
        <v>1</v>
      </c>
      <c r="S4" s="3">
        <v>0.127</v>
      </c>
      <c r="T4" s="3">
        <v>8.1999999999999993</v>
      </c>
    </row>
    <row r="5" spans="2:21" x14ac:dyDescent="0.2">
      <c r="R5" s="3" t="s">
        <v>2</v>
      </c>
      <c r="S5" s="3">
        <v>0.127</v>
      </c>
      <c r="T5" s="3">
        <v>8.1999999999999993</v>
      </c>
    </row>
    <row r="6" spans="2:21" ht="15" x14ac:dyDescent="0.25">
      <c r="B6" s="5" t="s">
        <v>0</v>
      </c>
      <c r="C6" s="5"/>
      <c r="D6" s="2">
        <f>'Master Calculation'!D8</f>
        <v>0</v>
      </c>
      <c r="E6" s="5"/>
      <c r="F6" s="3" t="s">
        <v>12</v>
      </c>
      <c r="H6" s="2">
        <f>'Master Calculation'!H8</f>
        <v>0</v>
      </c>
      <c r="J6" s="3" t="s">
        <v>33</v>
      </c>
      <c r="L6" s="6"/>
      <c r="M6" s="3" t="s">
        <v>57</v>
      </c>
      <c r="N6" s="3" t="s">
        <v>58</v>
      </c>
      <c r="O6" s="6"/>
      <c r="P6" s="3" t="s">
        <v>57</v>
      </c>
      <c r="R6" s="3" t="s">
        <v>3</v>
      </c>
      <c r="S6" s="3">
        <v>8.5999999999999993E-2</v>
      </c>
      <c r="T6" s="3">
        <v>5.7</v>
      </c>
    </row>
    <row r="7" spans="2:21" x14ac:dyDescent="0.2">
      <c r="B7" s="3" t="s">
        <v>10</v>
      </c>
      <c r="D7" s="6"/>
      <c r="F7" s="3" t="s">
        <v>13</v>
      </c>
      <c r="H7" s="6"/>
      <c r="J7" s="3" t="s">
        <v>42</v>
      </c>
      <c r="L7" s="6"/>
      <c r="M7" s="3" t="s">
        <v>57</v>
      </c>
      <c r="N7" s="3" t="s">
        <v>59</v>
      </c>
      <c r="O7" s="6"/>
      <c r="P7" s="3" t="s">
        <v>57</v>
      </c>
      <c r="R7" s="3" t="s">
        <v>4</v>
      </c>
      <c r="S7" s="3">
        <v>8.5999999999999993E-2</v>
      </c>
      <c r="T7" s="3">
        <v>5.7</v>
      </c>
    </row>
    <row r="8" spans="2:21" x14ac:dyDescent="0.2">
      <c r="B8" s="3" t="s">
        <v>11</v>
      </c>
      <c r="D8" s="6"/>
      <c r="F8" s="3" t="s">
        <v>14</v>
      </c>
      <c r="H8" s="6"/>
      <c r="J8" s="3" t="s">
        <v>43</v>
      </c>
      <c r="L8" s="6"/>
      <c r="M8" s="3" t="s">
        <v>57</v>
      </c>
      <c r="R8" s="3" t="s">
        <v>5</v>
      </c>
      <c r="S8" s="3">
        <v>8.5999999999999993E-2</v>
      </c>
      <c r="T8" s="3">
        <v>5.7</v>
      </c>
    </row>
    <row r="10" spans="2:21" x14ac:dyDescent="0.2">
      <c r="B10" s="4" t="s">
        <v>24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R10" s="3" t="s">
        <v>22</v>
      </c>
    </row>
    <row r="11" spans="2:21" x14ac:dyDescent="0.2">
      <c r="R11" s="3" t="s">
        <v>16</v>
      </c>
      <c r="S11" s="3">
        <v>30</v>
      </c>
      <c r="U11" s="3">
        <v>0</v>
      </c>
    </row>
    <row r="12" spans="2:21" ht="15" customHeight="1" x14ac:dyDescent="0.2">
      <c r="B12" s="7" t="s">
        <v>10</v>
      </c>
      <c r="C12" s="11"/>
      <c r="D12" s="11" t="s">
        <v>66</v>
      </c>
      <c r="E12" s="5"/>
      <c r="H12" s="7" t="s">
        <v>67</v>
      </c>
      <c r="I12" s="7"/>
      <c r="J12" s="7" t="s">
        <v>13</v>
      </c>
      <c r="L12" s="7" t="s">
        <v>14</v>
      </c>
      <c r="N12" s="7" t="s">
        <v>31</v>
      </c>
      <c r="R12" s="3" t="s">
        <v>17</v>
      </c>
      <c r="S12" s="3">
        <v>30</v>
      </c>
      <c r="U12" s="3">
        <v>2000</v>
      </c>
    </row>
    <row r="13" spans="2:21" x14ac:dyDescent="0.2">
      <c r="B13" s="8">
        <f>D7</f>
        <v>0</v>
      </c>
      <c r="D13" s="6">
        <v>0</v>
      </c>
      <c r="F13" s="8">
        <f>B13*D13</f>
        <v>0</v>
      </c>
      <c r="H13" s="9"/>
      <c r="N13" s="7" t="s">
        <v>32</v>
      </c>
      <c r="R13" s="3" t="s">
        <v>18</v>
      </c>
      <c r="S13" s="3">
        <v>26.9</v>
      </c>
      <c r="U13" s="3">
        <v>3000</v>
      </c>
    </row>
    <row r="14" spans="2:21" ht="15" x14ac:dyDescent="0.25">
      <c r="B14" s="7" t="s">
        <v>11</v>
      </c>
      <c r="C14" s="7"/>
      <c r="D14" s="11" t="s">
        <v>66</v>
      </c>
      <c r="F14" s="9" t="s">
        <v>30</v>
      </c>
      <c r="G14" s="9" t="s">
        <v>29</v>
      </c>
      <c r="H14" s="8">
        <f>F13+F15</f>
        <v>0</v>
      </c>
      <c r="I14" s="9" t="s">
        <v>65</v>
      </c>
      <c r="J14" s="8">
        <f>H7</f>
        <v>0</v>
      </c>
      <c r="K14" s="9" t="s">
        <v>65</v>
      </c>
      <c r="L14" s="8">
        <f>H8</f>
        <v>0</v>
      </c>
      <c r="M14" s="9" t="s">
        <v>29</v>
      </c>
      <c r="N14" s="2">
        <f>H14*J14*L14</f>
        <v>0</v>
      </c>
      <c r="O14" s="3" t="s">
        <v>68</v>
      </c>
      <c r="R14" s="3" t="s">
        <v>15</v>
      </c>
      <c r="S14" s="3">
        <v>29.4</v>
      </c>
    </row>
    <row r="15" spans="2:21" x14ac:dyDescent="0.2">
      <c r="B15" s="8">
        <f>D8</f>
        <v>0</v>
      </c>
      <c r="C15" s="5"/>
      <c r="D15" s="6">
        <v>0</v>
      </c>
      <c r="E15" s="5"/>
      <c r="F15" s="8">
        <f>D15*B15</f>
        <v>0</v>
      </c>
      <c r="H15" s="9"/>
      <c r="R15" s="3" t="s">
        <v>19</v>
      </c>
      <c r="S15" s="3">
        <v>27.5</v>
      </c>
    </row>
    <row r="16" spans="2:21" x14ac:dyDescent="0.2">
      <c r="L16" s="7" t="s">
        <v>31</v>
      </c>
      <c r="N16" s="7" t="s">
        <v>69</v>
      </c>
      <c r="R16" s="3" t="s">
        <v>20</v>
      </c>
      <c r="S16" s="3">
        <v>27.5</v>
      </c>
    </row>
    <row r="17" spans="2:19" ht="15" x14ac:dyDescent="0.25">
      <c r="L17" s="7" t="s">
        <v>32</v>
      </c>
      <c r="N17" s="7" t="s">
        <v>32</v>
      </c>
      <c r="P17"/>
      <c r="R17" s="3" t="s">
        <v>21</v>
      </c>
      <c r="S17" s="3">
        <v>25</v>
      </c>
    </row>
    <row r="18" spans="2:19" ht="15" x14ac:dyDescent="0.25">
      <c r="J18" s="10">
        <v>0.9</v>
      </c>
      <c r="K18" s="9" t="s">
        <v>65</v>
      </c>
      <c r="L18" s="2">
        <f>N14</f>
        <v>0</v>
      </c>
      <c r="N18" s="2">
        <f>L18*J18</f>
        <v>0</v>
      </c>
      <c r="O18" s="3" t="s">
        <v>68</v>
      </c>
      <c r="P18"/>
    </row>
    <row r="19" spans="2:19" ht="15" x14ac:dyDescent="0.25">
      <c r="P19"/>
    </row>
    <row r="20" spans="2:19" ht="15" x14ac:dyDescent="0.25">
      <c r="B20" s="4" t="s">
        <v>25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/>
    </row>
    <row r="21" spans="2:19" x14ac:dyDescent="0.2">
      <c r="F21" s="7" t="s">
        <v>70</v>
      </c>
      <c r="R21" s="3" t="s">
        <v>34</v>
      </c>
    </row>
    <row r="22" spans="2:19" x14ac:dyDescent="0.2">
      <c r="B22" s="7" t="s">
        <v>10</v>
      </c>
      <c r="C22" s="7"/>
      <c r="D22" s="7" t="s">
        <v>11</v>
      </c>
      <c r="F22" s="7" t="s">
        <v>71</v>
      </c>
      <c r="H22" s="7" t="s">
        <v>14</v>
      </c>
      <c r="J22" s="3" t="s">
        <v>72</v>
      </c>
      <c r="R22" s="3" t="s">
        <v>63</v>
      </c>
      <c r="S22" s="3">
        <v>2</v>
      </c>
    </row>
    <row r="23" spans="2:19" ht="15" x14ac:dyDescent="0.25">
      <c r="B23" s="2">
        <f>D7</f>
        <v>0</v>
      </c>
      <c r="C23" s="9" t="s">
        <v>65</v>
      </c>
      <c r="D23" s="2">
        <f>D8</f>
        <v>0</v>
      </c>
      <c r="E23" s="9" t="s">
        <v>29</v>
      </c>
      <c r="F23" s="2">
        <f>B23*D23</f>
        <v>0</v>
      </c>
      <c r="G23" s="9" t="s">
        <v>65</v>
      </c>
      <c r="H23" s="2">
        <f>H8</f>
        <v>0</v>
      </c>
      <c r="I23" s="9" t="s">
        <v>29</v>
      </c>
      <c r="J23" s="2">
        <f>F23*H23</f>
        <v>0</v>
      </c>
      <c r="K23" s="3" t="s">
        <v>68</v>
      </c>
      <c r="R23" s="3" t="s">
        <v>64</v>
      </c>
      <c r="S23" s="3">
        <v>3.1</v>
      </c>
    </row>
    <row r="24" spans="2:19" x14ac:dyDescent="0.2">
      <c r="R24" s="3" t="s">
        <v>62</v>
      </c>
      <c r="S24" s="3">
        <v>3.7</v>
      </c>
    </row>
    <row r="25" spans="2:19" x14ac:dyDescent="0.2">
      <c r="B25" s="7" t="s">
        <v>72</v>
      </c>
      <c r="C25" s="7"/>
      <c r="D25" s="7" t="s">
        <v>74</v>
      </c>
      <c r="F25" s="7" t="s">
        <v>73</v>
      </c>
      <c r="H25" s="3" t="s">
        <v>75</v>
      </c>
      <c r="J25" s="3" t="s">
        <v>76</v>
      </c>
      <c r="L25" s="3" t="s">
        <v>77</v>
      </c>
      <c r="N25" s="3" t="s">
        <v>78</v>
      </c>
      <c r="R25" s="3" t="s">
        <v>61</v>
      </c>
      <c r="S25" s="3">
        <v>4.8</v>
      </c>
    </row>
    <row r="26" spans="2:19" ht="15" x14ac:dyDescent="0.25">
      <c r="B26" s="2">
        <f>J23</f>
        <v>0</v>
      </c>
      <c r="C26" s="9" t="s">
        <v>65</v>
      </c>
      <c r="D26" s="2" t="e">
        <f>VLOOKUP(D6,P_Type_Tab,2,FALSE)</f>
        <v>#N/A</v>
      </c>
      <c r="E26" s="9" t="s">
        <v>30</v>
      </c>
      <c r="F26" s="2" t="e">
        <f>VLOOKUP(D6,P_Type_Tab,3,FALSE)</f>
        <v>#N/A</v>
      </c>
      <c r="G26" s="9" t="s">
        <v>29</v>
      </c>
      <c r="H26" s="2">
        <f>IF(B26=0,0,(B26*D26)+F26)</f>
        <v>0</v>
      </c>
      <c r="J26" s="1"/>
      <c r="K26" s="9" t="s">
        <v>65</v>
      </c>
      <c r="L26" s="2" t="e">
        <f>IF(L27="",VLOOKUP(O6,Win_Type_Tab,2,FALSE),L27)</f>
        <v>#N/A</v>
      </c>
      <c r="M26" s="9" t="s">
        <v>29</v>
      </c>
      <c r="N26" s="12" t="e">
        <f>IF(J26="",H26*L26,J26*L26)</f>
        <v>#N/A</v>
      </c>
      <c r="O26" s="3" t="s">
        <v>84</v>
      </c>
      <c r="R26" s="3" t="s">
        <v>60</v>
      </c>
      <c r="S26" s="3">
        <v>5.7</v>
      </c>
    </row>
    <row r="27" spans="2:19" ht="15" x14ac:dyDescent="0.25">
      <c r="L27" s="18"/>
      <c r="N27" s="13"/>
    </row>
    <row r="28" spans="2:19" x14ac:dyDescent="0.2">
      <c r="B28" s="7" t="s">
        <v>31</v>
      </c>
      <c r="N28" s="13"/>
      <c r="R28" s="3" t="s">
        <v>35</v>
      </c>
    </row>
    <row r="29" spans="2:19" x14ac:dyDescent="0.2">
      <c r="B29" s="7" t="s">
        <v>32</v>
      </c>
      <c r="D29" s="3" t="s">
        <v>76</v>
      </c>
      <c r="F29" s="3" t="s">
        <v>79</v>
      </c>
      <c r="L29" s="3" t="s">
        <v>80</v>
      </c>
      <c r="N29" s="13" t="s">
        <v>81</v>
      </c>
      <c r="R29" s="3" t="s">
        <v>36</v>
      </c>
    </row>
    <row r="30" spans="2:19" ht="15" x14ac:dyDescent="0.25">
      <c r="B30" s="2">
        <f>N14</f>
        <v>0</v>
      </c>
      <c r="C30" s="9" t="s">
        <v>28</v>
      </c>
      <c r="D30" s="2">
        <f>IF(J26="",H26,J26)</f>
        <v>0</v>
      </c>
      <c r="E30" s="9" t="s">
        <v>29</v>
      </c>
      <c r="F30" s="2">
        <f>B30-D30</f>
        <v>0</v>
      </c>
      <c r="K30" s="9" t="s">
        <v>65</v>
      </c>
      <c r="L30" s="2" t="e">
        <f>IF(L31="",VLOOKUP(L6,Wall_Type_Tab,2,FALSE),L31)</f>
        <v>#N/A</v>
      </c>
      <c r="M30" s="9" t="s">
        <v>29</v>
      </c>
      <c r="N30" s="12" t="e">
        <f>L30*F30</f>
        <v>#N/A</v>
      </c>
      <c r="O30" s="3" t="s">
        <v>84</v>
      </c>
      <c r="R30" s="3" t="s">
        <v>37</v>
      </c>
      <c r="S30" s="3">
        <v>0.35</v>
      </c>
    </row>
    <row r="31" spans="2:19" ht="15" x14ac:dyDescent="0.25">
      <c r="L31" s="18"/>
      <c r="N31" s="13"/>
      <c r="R31" s="3" t="s">
        <v>38</v>
      </c>
      <c r="S31" s="3">
        <v>0.45</v>
      </c>
    </row>
    <row r="32" spans="2:19" x14ac:dyDescent="0.2">
      <c r="N32" s="13"/>
      <c r="R32" s="3" t="s">
        <v>39</v>
      </c>
      <c r="S32" s="3">
        <v>2.1</v>
      </c>
    </row>
    <row r="33" spans="2:19" x14ac:dyDescent="0.2">
      <c r="B33" s="4" t="s">
        <v>26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R33" s="3" t="s">
        <v>40</v>
      </c>
      <c r="S33" s="3">
        <v>1.6</v>
      </c>
    </row>
    <row r="34" spans="2:19" x14ac:dyDescent="0.2">
      <c r="F34" s="7" t="s">
        <v>70</v>
      </c>
      <c r="N34" s="13"/>
      <c r="R34" s="3" t="s">
        <v>41</v>
      </c>
      <c r="S34" s="3">
        <v>0.6</v>
      </c>
    </row>
    <row r="35" spans="2:19" x14ac:dyDescent="0.2">
      <c r="F35" s="7" t="s">
        <v>71</v>
      </c>
      <c r="L35" s="7" t="s">
        <v>82</v>
      </c>
      <c r="N35" s="13" t="s">
        <v>83</v>
      </c>
    </row>
    <row r="36" spans="2:19" ht="15" x14ac:dyDescent="0.25">
      <c r="F36" s="2">
        <f>F23</f>
        <v>0</v>
      </c>
      <c r="K36" s="9" t="s">
        <v>65</v>
      </c>
      <c r="L36" s="2" t="e">
        <f>IF(L37="",VLOOKUP(L7,Roof_Type_Tab,2,FALSE),L37)</f>
        <v>#N/A</v>
      </c>
      <c r="M36" s="9" t="s">
        <v>29</v>
      </c>
      <c r="N36" s="12" t="e">
        <f>F36*L36</f>
        <v>#N/A</v>
      </c>
      <c r="O36" s="3" t="s">
        <v>84</v>
      </c>
      <c r="R36" s="3" t="s">
        <v>44</v>
      </c>
      <c r="S36" s="3">
        <v>2.2999999999999998</v>
      </c>
    </row>
    <row r="37" spans="2:19" ht="15" x14ac:dyDescent="0.25">
      <c r="H37" s="3" t="s">
        <v>67</v>
      </c>
      <c r="L37" s="18"/>
      <c r="N37" s="13"/>
      <c r="R37" s="3" t="s">
        <v>45</v>
      </c>
      <c r="S37" s="3">
        <v>1.5</v>
      </c>
    </row>
    <row r="38" spans="2:19" ht="15" x14ac:dyDescent="0.25">
      <c r="F38" s="2">
        <f>F36</f>
        <v>0</v>
      </c>
      <c r="G38" s="9" t="s">
        <v>87</v>
      </c>
      <c r="H38" s="2">
        <f>H14</f>
        <v>0</v>
      </c>
      <c r="I38" s="9" t="s">
        <v>29</v>
      </c>
      <c r="J38" s="12">
        <f>IF(H38=0,0,F38/H38)</f>
        <v>0</v>
      </c>
      <c r="N38" s="13"/>
      <c r="R38" s="3" t="s">
        <v>46</v>
      </c>
      <c r="S38" s="3">
        <v>0.4</v>
      </c>
    </row>
    <row r="39" spans="2:19" x14ac:dyDescent="0.2">
      <c r="L39" s="7" t="s">
        <v>85</v>
      </c>
      <c r="N39" s="13" t="s">
        <v>86</v>
      </c>
      <c r="R39" s="3" t="s">
        <v>47</v>
      </c>
      <c r="S39" s="3">
        <v>0.25</v>
      </c>
    </row>
    <row r="40" spans="2:19" ht="15" x14ac:dyDescent="0.25">
      <c r="F40" s="2">
        <f>F38</f>
        <v>0</v>
      </c>
      <c r="K40" s="9" t="s">
        <v>65</v>
      </c>
      <c r="L40" s="2" t="e">
        <f>IF(L41="",VLOOKUP(J38,Floor_Value,VLOOKUP(L8,Floor_Type_Tab,2,FALSE)+1,TRUE),L41)</f>
        <v>#N/A</v>
      </c>
      <c r="M40" s="9" t="s">
        <v>29</v>
      </c>
      <c r="N40" s="12" t="e">
        <f>F40*L40</f>
        <v>#N/A</v>
      </c>
      <c r="O40" s="3" t="s">
        <v>84</v>
      </c>
      <c r="R40" s="3" t="s">
        <v>48</v>
      </c>
      <c r="S40" s="3">
        <v>0.2</v>
      </c>
    </row>
    <row r="41" spans="2:19" ht="15" x14ac:dyDescent="0.25">
      <c r="I41"/>
      <c r="L41" s="18"/>
      <c r="R41" s="3" t="s">
        <v>49</v>
      </c>
      <c r="S41" s="3">
        <v>0.35</v>
      </c>
    </row>
    <row r="42" spans="2:19" x14ac:dyDescent="0.2">
      <c r="R42" s="3" t="s">
        <v>50</v>
      </c>
      <c r="S42" s="3">
        <v>0.7</v>
      </c>
    </row>
    <row r="43" spans="2:19" x14ac:dyDescent="0.2">
      <c r="B43" s="4" t="s">
        <v>27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R43" s="3" t="s">
        <v>51</v>
      </c>
      <c r="S43" s="3">
        <v>2.2999999999999998</v>
      </c>
    </row>
    <row r="45" spans="2:19" x14ac:dyDescent="0.2">
      <c r="B45" s="7" t="s">
        <v>72</v>
      </c>
      <c r="C45" s="7"/>
      <c r="D45" s="7" t="s">
        <v>88</v>
      </c>
    </row>
    <row r="46" spans="2:19" ht="15" x14ac:dyDescent="0.25">
      <c r="B46" s="2">
        <f>B26</f>
        <v>0</v>
      </c>
      <c r="C46" s="9" t="s">
        <v>65</v>
      </c>
      <c r="D46" s="2">
        <f>H7</f>
        <v>0</v>
      </c>
      <c r="E46" s="9" t="s">
        <v>65</v>
      </c>
      <c r="F46" s="10">
        <v>0.76</v>
      </c>
      <c r="G46" s="9" t="s">
        <v>29</v>
      </c>
      <c r="H46" s="2">
        <f>B46*D46*F46</f>
        <v>0</v>
      </c>
      <c r="J46" s="7" t="s">
        <v>90</v>
      </c>
      <c r="N46" s="13" t="s">
        <v>92</v>
      </c>
      <c r="R46" s="3" t="s">
        <v>54</v>
      </c>
    </row>
    <row r="47" spans="2:19" ht="15" x14ac:dyDescent="0.25">
      <c r="D47" s="3" t="s">
        <v>89</v>
      </c>
      <c r="H47" s="9" t="s">
        <v>30</v>
      </c>
      <c r="I47" s="9" t="s">
        <v>29</v>
      </c>
      <c r="J47" s="8">
        <f>H46+H48</f>
        <v>0</v>
      </c>
      <c r="K47" s="9" t="s">
        <v>65</v>
      </c>
      <c r="L47" s="10">
        <v>0.33</v>
      </c>
      <c r="N47" s="12">
        <f>J47*L47</f>
        <v>0</v>
      </c>
      <c r="O47" s="3" t="s">
        <v>84</v>
      </c>
      <c r="R47" s="3" t="s">
        <v>55</v>
      </c>
      <c r="S47" s="3">
        <v>1</v>
      </c>
    </row>
    <row r="48" spans="2:19" ht="15" x14ac:dyDescent="0.25">
      <c r="D48" s="2">
        <f>O7</f>
        <v>0</v>
      </c>
      <c r="E48" s="9" t="s">
        <v>65</v>
      </c>
      <c r="F48" s="10">
        <v>40</v>
      </c>
      <c r="G48" s="9" t="s">
        <v>29</v>
      </c>
      <c r="H48" s="2">
        <f>D48*F48</f>
        <v>0</v>
      </c>
      <c r="R48" s="3" t="s">
        <v>56</v>
      </c>
      <c r="S48" s="3">
        <v>2</v>
      </c>
    </row>
    <row r="49" spans="2:21" x14ac:dyDescent="0.2">
      <c r="L49" s="3" t="s">
        <v>101</v>
      </c>
      <c r="N49" s="3" t="s">
        <v>102</v>
      </c>
      <c r="R49" s="3" t="s">
        <v>53</v>
      </c>
      <c r="S49" s="3">
        <v>3</v>
      </c>
    </row>
    <row r="50" spans="2:21" ht="15" x14ac:dyDescent="0.25">
      <c r="L50" s="16">
        <v>0</v>
      </c>
      <c r="N50" s="12">
        <f>N47*(1-L50)</f>
        <v>0</v>
      </c>
      <c r="O50" s="3" t="s">
        <v>84</v>
      </c>
    </row>
    <row r="52" spans="2:21" x14ac:dyDescent="0.2">
      <c r="B52" s="4" t="s">
        <v>129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4" spans="2:21" x14ac:dyDescent="0.2">
      <c r="B54" s="7" t="s">
        <v>10</v>
      </c>
      <c r="C54" s="11"/>
      <c r="D54" s="11" t="s">
        <v>130</v>
      </c>
      <c r="E54" s="5"/>
      <c r="G54" s="7"/>
      <c r="N54" s="7" t="s">
        <v>132</v>
      </c>
    </row>
    <row r="55" spans="2:21" x14ac:dyDescent="0.2">
      <c r="B55" s="8">
        <f>B13</f>
        <v>0</v>
      </c>
      <c r="D55" s="6">
        <v>1</v>
      </c>
      <c r="F55" s="8">
        <f>B55*D55</f>
        <v>0</v>
      </c>
      <c r="H55" s="7" t="s">
        <v>13</v>
      </c>
      <c r="J55" s="7" t="s">
        <v>14</v>
      </c>
      <c r="L55" s="3" t="s">
        <v>131</v>
      </c>
      <c r="N55" s="7" t="s">
        <v>133</v>
      </c>
    </row>
    <row r="56" spans="2:21" ht="15" x14ac:dyDescent="0.25">
      <c r="B56" s="7" t="s">
        <v>11</v>
      </c>
      <c r="C56" s="7"/>
      <c r="D56" s="11" t="s">
        <v>130</v>
      </c>
      <c r="F56" s="9" t="s">
        <v>30</v>
      </c>
      <c r="G56" s="9" t="s">
        <v>65</v>
      </c>
      <c r="H56" s="8">
        <f>H7</f>
        <v>0</v>
      </c>
      <c r="I56" s="9" t="s">
        <v>65</v>
      </c>
      <c r="J56" s="6">
        <v>1</v>
      </c>
      <c r="K56" s="9" t="s">
        <v>65</v>
      </c>
      <c r="L56" s="8">
        <f>IF(L57="",S56,L57)</f>
        <v>1.33</v>
      </c>
      <c r="M56" s="9" t="s">
        <v>29</v>
      </c>
      <c r="N56" s="12">
        <f>(F55+F57)*H56*J56*L56</f>
        <v>0</v>
      </c>
      <c r="O56" s="3" t="s">
        <v>84</v>
      </c>
      <c r="R56" s="3" t="s">
        <v>134</v>
      </c>
      <c r="S56" s="3">
        <v>1.33</v>
      </c>
    </row>
    <row r="57" spans="2:21" ht="15" x14ac:dyDescent="0.25">
      <c r="B57" s="8">
        <f>D8</f>
        <v>0</v>
      </c>
      <c r="C57" s="5"/>
      <c r="D57" s="6">
        <v>0</v>
      </c>
      <c r="E57" s="5"/>
      <c r="F57" s="8">
        <f>D57*B57</f>
        <v>0</v>
      </c>
      <c r="H57" s="9"/>
      <c r="L57" s="18"/>
      <c r="N57" s="13"/>
      <c r="R57" s="3" t="s">
        <v>135</v>
      </c>
      <c r="S57" s="3">
        <v>1.02</v>
      </c>
    </row>
    <row r="58" spans="2:21" x14ac:dyDescent="0.2">
      <c r="L58" s="7"/>
      <c r="N58" s="14" t="s">
        <v>140</v>
      </c>
      <c r="R58" s="3" t="s">
        <v>136</v>
      </c>
      <c r="S58" s="3">
        <v>1.02</v>
      </c>
    </row>
    <row r="59" spans="2:21" x14ac:dyDescent="0.2">
      <c r="J59" s="3" t="s">
        <v>138</v>
      </c>
      <c r="L59" s="7" t="s">
        <v>139</v>
      </c>
      <c r="N59" s="14" t="s">
        <v>133</v>
      </c>
    </row>
    <row r="60" spans="2:21" ht="15" x14ac:dyDescent="0.25">
      <c r="B60" s="3" t="s">
        <v>137</v>
      </c>
      <c r="J60" s="2">
        <f>F23</f>
        <v>0</v>
      </c>
      <c r="K60" s="9" t="s">
        <v>65</v>
      </c>
      <c r="L60" s="8">
        <f>IF(L61="",S57,L61)</f>
        <v>1.02</v>
      </c>
      <c r="M60" s="9" t="s">
        <v>29</v>
      </c>
      <c r="N60" s="12">
        <f>IF(OR(D6="Mid Flat",D6="Bottom Flat"),J60*L60,0)</f>
        <v>0</v>
      </c>
      <c r="O60" s="3" t="s">
        <v>84</v>
      </c>
    </row>
    <row r="61" spans="2:21" ht="15" x14ac:dyDescent="0.25">
      <c r="L61" s="18"/>
      <c r="N61" s="14"/>
    </row>
    <row r="62" spans="2:21" x14ac:dyDescent="0.2">
      <c r="L62" s="7"/>
      <c r="N62" s="14" t="s">
        <v>141</v>
      </c>
    </row>
    <row r="63" spans="2:21" x14ac:dyDescent="0.2">
      <c r="J63" s="3" t="s">
        <v>138</v>
      </c>
      <c r="L63" s="7" t="s">
        <v>143</v>
      </c>
      <c r="N63" s="14" t="s">
        <v>133</v>
      </c>
      <c r="R63" s="3" t="s">
        <v>52</v>
      </c>
    </row>
    <row r="64" spans="2:21" ht="15" x14ac:dyDescent="0.25">
      <c r="B64" s="3" t="s">
        <v>142</v>
      </c>
      <c r="J64" s="2">
        <f>J60</f>
        <v>0</v>
      </c>
      <c r="K64" s="9" t="s">
        <v>65</v>
      </c>
      <c r="L64" s="8">
        <f>IF(L65="",S58,L65)</f>
        <v>1.02</v>
      </c>
      <c r="M64" s="9" t="s">
        <v>29</v>
      </c>
      <c r="N64" s="12">
        <f>IF(OR(D6="Mid Flat",D6="Top Flat"),J64*L64,0)</f>
        <v>0</v>
      </c>
      <c r="O64" s="3" t="s">
        <v>84</v>
      </c>
      <c r="R64" s="3">
        <v>0</v>
      </c>
      <c r="S64" s="3">
        <v>1.41</v>
      </c>
      <c r="T64" s="3">
        <v>1.87</v>
      </c>
      <c r="U64" s="3">
        <v>0.63</v>
      </c>
    </row>
    <row r="65" spans="2:21" ht="15" x14ac:dyDescent="0.25">
      <c r="L65" s="18"/>
      <c r="N65" s="14"/>
      <c r="R65" s="3">
        <v>1</v>
      </c>
      <c r="S65" s="3">
        <v>1.08</v>
      </c>
      <c r="T65" s="3">
        <v>1.69</v>
      </c>
      <c r="U65" s="3">
        <v>0.67</v>
      </c>
    </row>
    <row r="66" spans="2:21" x14ac:dyDescent="0.2">
      <c r="H66" s="3" t="s">
        <v>144</v>
      </c>
      <c r="N66" s="14" t="s">
        <v>145</v>
      </c>
      <c r="R66" s="3">
        <v>1.5</v>
      </c>
      <c r="S66" s="3">
        <v>0.98</v>
      </c>
      <c r="T66" s="3">
        <v>1.52</v>
      </c>
      <c r="U66" s="3">
        <v>0.67</v>
      </c>
    </row>
    <row r="67" spans="2:21" ht="15" x14ac:dyDescent="0.25">
      <c r="H67" s="12">
        <f>N56+N60+N64</f>
        <v>0</v>
      </c>
      <c r="K67" s="9" t="s">
        <v>65</v>
      </c>
      <c r="L67" s="10">
        <v>10.6</v>
      </c>
      <c r="M67" s="9" t="s">
        <v>29</v>
      </c>
      <c r="N67" s="12">
        <f>H67*L67</f>
        <v>0</v>
      </c>
      <c r="O67" s="3" t="s">
        <v>146</v>
      </c>
      <c r="R67" s="3">
        <v>2</v>
      </c>
      <c r="S67" s="3">
        <v>0.9</v>
      </c>
      <c r="T67" s="3">
        <v>1.38</v>
      </c>
      <c r="U67" s="3">
        <v>0.66</v>
      </c>
    </row>
    <row r="68" spans="2:21" x14ac:dyDescent="0.2">
      <c r="N68" s="7"/>
      <c r="R68" s="3">
        <v>2.5</v>
      </c>
      <c r="S68" s="3">
        <v>0.84</v>
      </c>
      <c r="T68" s="3">
        <v>1.27</v>
      </c>
      <c r="U68" s="3">
        <v>0.64</v>
      </c>
    </row>
    <row r="69" spans="2:21" x14ac:dyDescent="0.2">
      <c r="B69" s="4" t="s">
        <v>127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R69" s="3">
        <v>3</v>
      </c>
      <c r="S69" s="3">
        <v>0.73</v>
      </c>
      <c r="T69" s="3">
        <v>1.0900000000000001</v>
      </c>
      <c r="U69" s="3">
        <v>0.6</v>
      </c>
    </row>
    <row r="70" spans="2:21" x14ac:dyDescent="0.2">
      <c r="R70" s="3">
        <v>4</v>
      </c>
      <c r="S70" s="3">
        <v>0.66</v>
      </c>
      <c r="T70" s="3">
        <v>0.96</v>
      </c>
      <c r="U70" s="3">
        <v>0.56000000000000005</v>
      </c>
    </row>
    <row r="71" spans="2:21" x14ac:dyDescent="0.2">
      <c r="B71" s="7" t="s">
        <v>78</v>
      </c>
      <c r="C71" s="7"/>
      <c r="D71" s="14" t="s">
        <v>81</v>
      </c>
      <c r="E71" s="7"/>
      <c r="F71" s="14" t="s">
        <v>83</v>
      </c>
      <c r="G71" s="7"/>
      <c r="H71" s="14" t="s">
        <v>86</v>
      </c>
      <c r="I71" s="7"/>
      <c r="J71" s="14" t="s">
        <v>91</v>
      </c>
      <c r="L71" s="3" t="s">
        <v>93</v>
      </c>
      <c r="N71" s="3" t="s">
        <v>94</v>
      </c>
      <c r="R71" s="3">
        <v>5</v>
      </c>
      <c r="S71" s="3">
        <v>0.44</v>
      </c>
      <c r="T71" s="3">
        <v>0.62</v>
      </c>
      <c r="U71" s="3">
        <v>0.41</v>
      </c>
    </row>
    <row r="72" spans="2:21" ht="15" x14ac:dyDescent="0.25">
      <c r="B72" s="12" t="e">
        <f>N26</f>
        <v>#N/A</v>
      </c>
      <c r="C72" s="9" t="s">
        <v>30</v>
      </c>
      <c r="D72" s="12" t="e">
        <f>N30</f>
        <v>#N/A</v>
      </c>
      <c r="E72" s="9" t="s">
        <v>30</v>
      </c>
      <c r="F72" s="12" t="e">
        <f>N36</f>
        <v>#N/A</v>
      </c>
      <c r="G72" s="9" t="s">
        <v>30</v>
      </c>
      <c r="H72" s="12" t="e">
        <f>N40</f>
        <v>#N/A</v>
      </c>
      <c r="I72" s="9" t="s">
        <v>30</v>
      </c>
      <c r="J72" s="12">
        <f>N50</f>
        <v>0</v>
      </c>
      <c r="K72" s="9" t="s">
        <v>65</v>
      </c>
      <c r="L72" s="2" t="e">
        <f>VLOOKUP(H6,Loc_Fact_Tab,2,FALSE)</f>
        <v>#N/A</v>
      </c>
      <c r="M72" s="9" t="s">
        <v>29</v>
      </c>
      <c r="N72" s="20" t="e">
        <f>(B72+D72+F72+H72+J72)*L72</f>
        <v>#N/A</v>
      </c>
      <c r="O72" s="3" t="s">
        <v>84</v>
      </c>
      <c r="R72" s="3">
        <v>10</v>
      </c>
      <c r="S72" s="3">
        <v>0.27</v>
      </c>
      <c r="T72" s="3">
        <v>0.38</v>
      </c>
      <c r="U72" s="3">
        <v>0.27</v>
      </c>
    </row>
    <row r="73" spans="2:21" x14ac:dyDescent="0.2">
      <c r="R73" s="3">
        <v>20</v>
      </c>
      <c r="S73" s="3">
        <v>0.16</v>
      </c>
      <c r="T73" s="3">
        <v>0.22</v>
      </c>
      <c r="U73" s="3">
        <v>0.17</v>
      </c>
    </row>
    <row r="74" spans="2:2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</sheetData>
  <mergeCells count="1">
    <mergeCell ref="D2:F2"/>
  </mergeCells>
  <dataValidations count="5">
    <dataValidation type="list" allowBlank="1" showInputMessage="1" showErrorMessage="1" sqref="O6">
      <formula1>Win_Type</formula1>
    </dataValidation>
    <dataValidation type="list" allowBlank="1" showInputMessage="1" showErrorMessage="1" sqref="L8">
      <formula1>Floor_Type</formula1>
    </dataValidation>
    <dataValidation type="list" allowBlank="1" showInputMessage="1" showErrorMessage="1" sqref="L7">
      <formula1>Roof_Type</formula1>
    </dataValidation>
    <dataValidation type="list" allowBlank="1" showInputMessage="1" showErrorMessage="1" sqref="L6">
      <formula1>Wall_Type</formula1>
    </dataValidation>
    <dataValidation type="list" allowBlank="1" showInputMessage="1" showErrorMessage="1" sqref="E6">
      <formula1>P_Type</formula1>
    </dataValidation>
  </dataValidations>
  <pageMargins left="0.23622047244094491" right="0.23622047244094491" top="0.19685039370078741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4"/>
  <sheetViews>
    <sheetView workbookViewId="0"/>
  </sheetViews>
  <sheetFormatPr defaultRowHeight="12.75" x14ac:dyDescent="0.2"/>
  <cols>
    <col min="1" max="1" width="9.140625" style="3"/>
    <col min="2" max="2" width="14.7109375" style="3" customWidth="1"/>
    <col min="3" max="3" width="2.28515625" style="3" customWidth="1"/>
    <col min="4" max="4" width="16.7109375" style="3" customWidth="1"/>
    <col min="5" max="5" width="2.28515625" style="3" customWidth="1"/>
    <col min="6" max="6" width="14.7109375" style="3" customWidth="1"/>
    <col min="7" max="7" width="2.28515625" style="3" customWidth="1"/>
    <col min="8" max="8" width="16.7109375" style="3" customWidth="1"/>
    <col min="9" max="9" width="2.28515625" style="3" customWidth="1"/>
    <col min="10" max="10" width="14.7109375" style="3" customWidth="1"/>
    <col min="11" max="11" width="2.28515625" style="3" customWidth="1"/>
    <col min="12" max="12" width="16.7109375" style="3" customWidth="1"/>
    <col min="13" max="13" width="2.28515625" style="3" customWidth="1"/>
    <col min="14" max="14" width="14.7109375" style="3" customWidth="1"/>
    <col min="15" max="15" width="16.7109375" style="3" customWidth="1"/>
    <col min="16" max="16" width="9.140625" style="3"/>
    <col min="17" max="17" width="9.140625" style="3" hidden="1" customWidth="1"/>
    <col min="18" max="18" width="22.140625" style="3" hidden="1" customWidth="1"/>
    <col min="19" max="21" width="9.140625" style="3" hidden="1" customWidth="1"/>
    <col min="22" max="22" width="0" style="3" hidden="1" customWidth="1"/>
    <col min="23" max="16384" width="9.140625" style="3"/>
  </cols>
  <sheetData>
    <row r="1" spans="2:21" ht="18" thickBot="1" x14ac:dyDescent="0.35">
      <c r="B1" s="22" t="s">
        <v>151</v>
      </c>
      <c r="C1" s="22"/>
      <c r="D1" s="22"/>
      <c r="E1" s="22"/>
      <c r="F1" s="22"/>
      <c r="G1" s="22"/>
      <c r="H1" s="22" t="s">
        <v>156</v>
      </c>
      <c r="I1" s="22"/>
      <c r="J1" s="22"/>
      <c r="K1" s="22"/>
      <c r="L1" s="22"/>
      <c r="M1" s="22"/>
      <c r="N1" s="22"/>
      <c r="O1" s="22"/>
    </row>
    <row r="2" spans="2:21" ht="15.75" thickTop="1" x14ac:dyDescent="0.25">
      <c r="B2" s="3" t="s">
        <v>155</v>
      </c>
      <c r="D2" s="30">
        <f>'Master Calculation'!D2:F2</f>
        <v>0</v>
      </c>
      <c r="E2" s="30"/>
      <c r="F2" s="30"/>
      <c r="J2" s="3" t="s">
        <v>153</v>
      </c>
      <c r="L2" s="23">
        <f ca="1">TODAY()</f>
        <v>41432</v>
      </c>
      <c r="R2" s="3" t="s">
        <v>6</v>
      </c>
      <c r="S2" s="3" t="s">
        <v>7</v>
      </c>
      <c r="T2" s="3" t="s">
        <v>8</v>
      </c>
    </row>
    <row r="3" spans="2:21" x14ac:dyDescent="0.2">
      <c r="R3" s="3" t="s">
        <v>9</v>
      </c>
      <c r="S3" s="3">
        <v>0.127</v>
      </c>
      <c r="T3" s="3">
        <v>8.1999999999999993</v>
      </c>
    </row>
    <row r="4" spans="2:21" x14ac:dyDescent="0.2">
      <c r="B4" s="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3" t="s">
        <v>1</v>
      </c>
      <c r="S4" s="3">
        <v>0.127</v>
      </c>
      <c r="T4" s="3">
        <v>8.1999999999999993</v>
      </c>
    </row>
    <row r="5" spans="2:21" x14ac:dyDescent="0.2">
      <c r="R5" s="3" t="s">
        <v>2</v>
      </c>
      <c r="S5" s="3">
        <v>0.127</v>
      </c>
      <c r="T5" s="3">
        <v>8.1999999999999993</v>
      </c>
    </row>
    <row r="6" spans="2:21" ht="15" x14ac:dyDescent="0.25">
      <c r="B6" s="5" t="s">
        <v>0</v>
      </c>
      <c r="C6" s="5"/>
      <c r="D6" s="2">
        <f>'Master Calculation'!D8</f>
        <v>0</v>
      </c>
      <c r="E6" s="5"/>
      <c r="F6" s="3" t="s">
        <v>12</v>
      </c>
      <c r="H6" s="2">
        <f>'Master Calculation'!H8</f>
        <v>0</v>
      </c>
      <c r="J6" s="3" t="s">
        <v>33</v>
      </c>
      <c r="L6" s="6"/>
      <c r="M6" s="3" t="s">
        <v>57</v>
      </c>
      <c r="N6" s="3" t="s">
        <v>58</v>
      </c>
      <c r="O6" s="6"/>
      <c r="P6" s="3" t="s">
        <v>57</v>
      </c>
      <c r="R6" s="3" t="s">
        <v>3</v>
      </c>
      <c r="S6" s="3">
        <v>8.5999999999999993E-2</v>
      </c>
      <c r="T6" s="3">
        <v>5.7</v>
      </c>
    </row>
    <row r="7" spans="2:21" x14ac:dyDescent="0.2">
      <c r="B7" s="3" t="s">
        <v>10</v>
      </c>
      <c r="D7" s="6"/>
      <c r="F7" s="3" t="s">
        <v>13</v>
      </c>
      <c r="H7" s="6"/>
      <c r="J7" s="3" t="s">
        <v>42</v>
      </c>
      <c r="L7" s="6"/>
      <c r="M7" s="3" t="s">
        <v>57</v>
      </c>
      <c r="N7" s="3" t="s">
        <v>59</v>
      </c>
      <c r="O7" s="6"/>
      <c r="P7" s="3" t="s">
        <v>57</v>
      </c>
      <c r="R7" s="3" t="s">
        <v>4</v>
      </c>
      <c r="S7" s="3">
        <v>8.5999999999999993E-2</v>
      </c>
      <c r="T7" s="3">
        <v>5.7</v>
      </c>
    </row>
    <row r="8" spans="2:21" x14ac:dyDescent="0.2">
      <c r="B8" s="3" t="s">
        <v>11</v>
      </c>
      <c r="D8" s="6"/>
      <c r="F8" s="3" t="s">
        <v>14</v>
      </c>
      <c r="H8" s="6"/>
      <c r="J8" s="3" t="s">
        <v>43</v>
      </c>
      <c r="L8" s="6"/>
      <c r="M8" s="3" t="s">
        <v>57</v>
      </c>
      <c r="R8" s="3" t="s">
        <v>5</v>
      </c>
      <c r="S8" s="3">
        <v>8.5999999999999993E-2</v>
      </c>
      <c r="T8" s="3">
        <v>5.7</v>
      </c>
    </row>
    <row r="10" spans="2:21" x14ac:dyDescent="0.2">
      <c r="B10" s="4" t="s">
        <v>24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R10" s="3" t="s">
        <v>22</v>
      </c>
    </row>
    <row r="11" spans="2:21" x14ac:dyDescent="0.2">
      <c r="R11" s="3" t="s">
        <v>16</v>
      </c>
      <c r="S11" s="3">
        <v>30</v>
      </c>
      <c r="U11" s="3">
        <v>0</v>
      </c>
    </row>
    <row r="12" spans="2:21" ht="15" customHeight="1" x14ac:dyDescent="0.2">
      <c r="B12" s="7" t="s">
        <v>10</v>
      </c>
      <c r="C12" s="11"/>
      <c r="D12" s="11" t="s">
        <v>66</v>
      </c>
      <c r="E12" s="5"/>
      <c r="H12" s="7" t="s">
        <v>67</v>
      </c>
      <c r="I12" s="7"/>
      <c r="J12" s="7" t="s">
        <v>13</v>
      </c>
      <c r="L12" s="7" t="s">
        <v>14</v>
      </c>
      <c r="N12" s="7" t="s">
        <v>31</v>
      </c>
      <c r="R12" s="3" t="s">
        <v>17</v>
      </c>
      <c r="S12" s="3">
        <v>30</v>
      </c>
      <c r="U12" s="3">
        <v>2000</v>
      </c>
    </row>
    <row r="13" spans="2:21" x14ac:dyDescent="0.2">
      <c r="B13" s="8">
        <f>D7</f>
        <v>0</v>
      </c>
      <c r="D13" s="6">
        <v>0</v>
      </c>
      <c r="F13" s="8">
        <f>B13*D13</f>
        <v>0</v>
      </c>
      <c r="H13" s="9"/>
      <c r="N13" s="7" t="s">
        <v>32</v>
      </c>
      <c r="R13" s="3" t="s">
        <v>18</v>
      </c>
      <c r="S13" s="3">
        <v>26.9</v>
      </c>
      <c r="U13" s="3">
        <v>3000</v>
      </c>
    </row>
    <row r="14" spans="2:21" ht="15" x14ac:dyDescent="0.25">
      <c r="B14" s="7" t="s">
        <v>11</v>
      </c>
      <c r="C14" s="7"/>
      <c r="D14" s="11" t="s">
        <v>66</v>
      </c>
      <c r="F14" s="9" t="s">
        <v>30</v>
      </c>
      <c r="G14" s="9" t="s">
        <v>29</v>
      </c>
      <c r="H14" s="8">
        <f>F13+F15</f>
        <v>0</v>
      </c>
      <c r="I14" s="9" t="s">
        <v>65</v>
      </c>
      <c r="J14" s="8">
        <f>H7</f>
        <v>0</v>
      </c>
      <c r="K14" s="9" t="s">
        <v>65</v>
      </c>
      <c r="L14" s="8">
        <f>H8</f>
        <v>0</v>
      </c>
      <c r="M14" s="9" t="s">
        <v>29</v>
      </c>
      <c r="N14" s="2">
        <f>H14*J14*L14</f>
        <v>0</v>
      </c>
      <c r="O14" s="3" t="s">
        <v>68</v>
      </c>
      <c r="R14" s="3" t="s">
        <v>15</v>
      </c>
      <c r="S14" s="3">
        <v>29.4</v>
      </c>
    </row>
    <row r="15" spans="2:21" x14ac:dyDescent="0.2">
      <c r="B15" s="8">
        <f>D8</f>
        <v>0</v>
      </c>
      <c r="C15" s="5"/>
      <c r="D15" s="6">
        <v>0</v>
      </c>
      <c r="E15" s="5"/>
      <c r="F15" s="8">
        <f>D15*B15</f>
        <v>0</v>
      </c>
      <c r="H15" s="9"/>
      <c r="R15" s="3" t="s">
        <v>19</v>
      </c>
      <c r="S15" s="3">
        <v>27.5</v>
      </c>
    </row>
    <row r="16" spans="2:21" x14ac:dyDescent="0.2">
      <c r="L16" s="7" t="s">
        <v>31</v>
      </c>
      <c r="N16" s="7" t="s">
        <v>69</v>
      </c>
      <c r="R16" s="3" t="s">
        <v>20</v>
      </c>
      <c r="S16" s="3">
        <v>27.5</v>
      </c>
    </row>
    <row r="17" spans="2:19" ht="15" x14ac:dyDescent="0.25">
      <c r="L17" s="7" t="s">
        <v>32</v>
      </c>
      <c r="N17" s="7" t="s">
        <v>32</v>
      </c>
      <c r="P17"/>
      <c r="R17" s="3" t="s">
        <v>21</v>
      </c>
      <c r="S17" s="3">
        <v>25</v>
      </c>
    </row>
    <row r="18" spans="2:19" ht="15" x14ac:dyDescent="0.25">
      <c r="J18" s="10">
        <v>0.9</v>
      </c>
      <c r="K18" s="9" t="s">
        <v>65</v>
      </c>
      <c r="L18" s="2">
        <f>N14</f>
        <v>0</v>
      </c>
      <c r="N18" s="2">
        <f>L18*J18</f>
        <v>0</v>
      </c>
      <c r="O18" s="3" t="s">
        <v>68</v>
      </c>
      <c r="P18"/>
    </row>
    <row r="19" spans="2:19" ht="15" x14ac:dyDescent="0.25">
      <c r="P19"/>
    </row>
    <row r="20" spans="2:19" ht="15" x14ac:dyDescent="0.25">
      <c r="B20" s="4" t="s">
        <v>25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/>
    </row>
    <row r="21" spans="2:19" x14ac:dyDescent="0.2">
      <c r="F21" s="7" t="s">
        <v>70</v>
      </c>
      <c r="R21" s="3" t="s">
        <v>34</v>
      </c>
    </row>
    <row r="22" spans="2:19" x14ac:dyDescent="0.2">
      <c r="B22" s="7" t="s">
        <v>10</v>
      </c>
      <c r="C22" s="7"/>
      <c r="D22" s="7" t="s">
        <v>11</v>
      </c>
      <c r="F22" s="7" t="s">
        <v>71</v>
      </c>
      <c r="H22" s="7" t="s">
        <v>14</v>
      </c>
      <c r="J22" s="3" t="s">
        <v>72</v>
      </c>
      <c r="R22" s="3" t="s">
        <v>63</v>
      </c>
      <c r="S22" s="3">
        <v>2</v>
      </c>
    </row>
    <row r="23" spans="2:19" ht="15" x14ac:dyDescent="0.25">
      <c r="B23" s="2">
        <f>D7</f>
        <v>0</v>
      </c>
      <c r="C23" s="9" t="s">
        <v>65</v>
      </c>
      <c r="D23" s="2">
        <f>D8</f>
        <v>0</v>
      </c>
      <c r="E23" s="9" t="s">
        <v>29</v>
      </c>
      <c r="F23" s="2">
        <f>B23*D23</f>
        <v>0</v>
      </c>
      <c r="G23" s="9" t="s">
        <v>65</v>
      </c>
      <c r="H23" s="2">
        <f>H8</f>
        <v>0</v>
      </c>
      <c r="I23" s="9" t="s">
        <v>29</v>
      </c>
      <c r="J23" s="2">
        <f>F23*H23</f>
        <v>0</v>
      </c>
      <c r="K23" s="3" t="s">
        <v>68</v>
      </c>
      <c r="R23" s="3" t="s">
        <v>64</v>
      </c>
      <c r="S23" s="3">
        <v>3.1</v>
      </c>
    </row>
    <row r="24" spans="2:19" x14ac:dyDescent="0.2">
      <c r="R24" s="3" t="s">
        <v>62</v>
      </c>
      <c r="S24" s="3">
        <v>3.7</v>
      </c>
    </row>
    <row r="25" spans="2:19" x14ac:dyDescent="0.2">
      <c r="B25" s="7" t="s">
        <v>72</v>
      </c>
      <c r="C25" s="7"/>
      <c r="D25" s="7" t="s">
        <v>74</v>
      </c>
      <c r="F25" s="7" t="s">
        <v>73</v>
      </c>
      <c r="H25" s="3" t="s">
        <v>75</v>
      </c>
      <c r="J25" s="3" t="s">
        <v>76</v>
      </c>
      <c r="L25" s="3" t="s">
        <v>77</v>
      </c>
      <c r="N25" s="3" t="s">
        <v>78</v>
      </c>
      <c r="R25" s="3" t="s">
        <v>61</v>
      </c>
      <c r="S25" s="3">
        <v>4.8</v>
      </c>
    </row>
    <row r="26" spans="2:19" ht="15" x14ac:dyDescent="0.25">
      <c r="B26" s="2">
        <f>J23</f>
        <v>0</v>
      </c>
      <c r="C26" s="9" t="s">
        <v>65</v>
      </c>
      <c r="D26" s="2" t="e">
        <f>VLOOKUP(D6,P_Type_Tab,2,FALSE)</f>
        <v>#N/A</v>
      </c>
      <c r="E26" s="9" t="s">
        <v>30</v>
      </c>
      <c r="F26" s="2" t="e">
        <f>VLOOKUP(D6,P_Type_Tab,3,FALSE)</f>
        <v>#N/A</v>
      </c>
      <c r="G26" s="9" t="s">
        <v>29</v>
      </c>
      <c r="H26" s="2">
        <f>IF(B26=0,0,(B26*D26)+F26)</f>
        <v>0</v>
      </c>
      <c r="J26" s="1"/>
      <c r="K26" s="9" t="s">
        <v>65</v>
      </c>
      <c r="L26" s="2" t="e">
        <f>IF(L27="",VLOOKUP(O6,Win_Type_Tab,2,FALSE),L27)</f>
        <v>#N/A</v>
      </c>
      <c r="M26" s="9" t="s">
        <v>29</v>
      </c>
      <c r="N26" s="12" t="e">
        <f>IF(J26="",H26*L26,J26*L26)</f>
        <v>#N/A</v>
      </c>
      <c r="O26" s="3" t="s">
        <v>84</v>
      </c>
      <c r="R26" s="3" t="s">
        <v>60</v>
      </c>
      <c r="S26" s="3">
        <v>5.7</v>
      </c>
    </row>
    <row r="27" spans="2:19" ht="15" x14ac:dyDescent="0.25">
      <c r="L27" s="18"/>
      <c r="N27" s="13"/>
    </row>
    <row r="28" spans="2:19" x14ac:dyDescent="0.2">
      <c r="B28" s="7" t="s">
        <v>31</v>
      </c>
      <c r="N28" s="13"/>
      <c r="R28" s="3" t="s">
        <v>35</v>
      </c>
    </row>
    <row r="29" spans="2:19" x14ac:dyDescent="0.2">
      <c r="B29" s="7" t="s">
        <v>32</v>
      </c>
      <c r="D29" s="3" t="s">
        <v>76</v>
      </c>
      <c r="F29" s="3" t="s">
        <v>79</v>
      </c>
      <c r="L29" s="3" t="s">
        <v>80</v>
      </c>
      <c r="N29" s="13" t="s">
        <v>81</v>
      </c>
      <c r="R29" s="3" t="s">
        <v>36</v>
      </c>
    </row>
    <row r="30" spans="2:19" ht="15" x14ac:dyDescent="0.25">
      <c r="B30" s="2">
        <f>N14</f>
        <v>0</v>
      </c>
      <c r="C30" s="9" t="s">
        <v>28</v>
      </c>
      <c r="D30" s="2">
        <f>IF(J26="",H26,J26)</f>
        <v>0</v>
      </c>
      <c r="E30" s="9" t="s">
        <v>29</v>
      </c>
      <c r="F30" s="2">
        <f>B30-D30</f>
        <v>0</v>
      </c>
      <c r="K30" s="9" t="s">
        <v>65</v>
      </c>
      <c r="L30" s="2" t="e">
        <f>IF(L31="",VLOOKUP(L6,Wall_Type_Tab,2,FALSE),L31)</f>
        <v>#N/A</v>
      </c>
      <c r="M30" s="9" t="s">
        <v>29</v>
      </c>
      <c r="N30" s="12" t="e">
        <f>L30*F30</f>
        <v>#N/A</v>
      </c>
      <c r="O30" s="3" t="s">
        <v>84</v>
      </c>
      <c r="R30" s="3" t="s">
        <v>37</v>
      </c>
      <c r="S30" s="3">
        <v>0.35</v>
      </c>
    </row>
    <row r="31" spans="2:19" ht="15" x14ac:dyDescent="0.25">
      <c r="L31" s="18"/>
      <c r="N31" s="13"/>
      <c r="R31" s="3" t="s">
        <v>38</v>
      </c>
      <c r="S31" s="3">
        <v>0.45</v>
      </c>
    </row>
    <row r="32" spans="2:19" x14ac:dyDescent="0.2">
      <c r="N32" s="13"/>
      <c r="R32" s="3" t="s">
        <v>39</v>
      </c>
      <c r="S32" s="3">
        <v>2.1</v>
      </c>
    </row>
    <row r="33" spans="2:19" x14ac:dyDescent="0.2">
      <c r="B33" s="4" t="s">
        <v>26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R33" s="3" t="s">
        <v>40</v>
      </c>
      <c r="S33" s="3">
        <v>1.6</v>
      </c>
    </row>
    <row r="34" spans="2:19" x14ac:dyDescent="0.2">
      <c r="F34" s="7" t="s">
        <v>70</v>
      </c>
      <c r="N34" s="13"/>
      <c r="R34" s="3" t="s">
        <v>41</v>
      </c>
      <c r="S34" s="3">
        <v>0.6</v>
      </c>
    </row>
    <row r="35" spans="2:19" x14ac:dyDescent="0.2">
      <c r="F35" s="7" t="s">
        <v>71</v>
      </c>
      <c r="L35" s="7" t="s">
        <v>82</v>
      </c>
      <c r="N35" s="13" t="s">
        <v>83</v>
      </c>
    </row>
    <row r="36" spans="2:19" ht="15" x14ac:dyDescent="0.25">
      <c r="F36" s="2">
        <f>F23</f>
        <v>0</v>
      </c>
      <c r="K36" s="9" t="s">
        <v>65</v>
      </c>
      <c r="L36" s="2" t="e">
        <f>IF(L37="",VLOOKUP(L7,Roof_Type_Tab,2,FALSE),L37)</f>
        <v>#N/A</v>
      </c>
      <c r="M36" s="9" t="s">
        <v>29</v>
      </c>
      <c r="N36" s="12" t="e">
        <f>F36*L36</f>
        <v>#N/A</v>
      </c>
      <c r="O36" s="3" t="s">
        <v>84</v>
      </c>
      <c r="R36" s="3" t="s">
        <v>44</v>
      </c>
      <c r="S36" s="3">
        <v>2.2999999999999998</v>
      </c>
    </row>
    <row r="37" spans="2:19" ht="15" x14ac:dyDescent="0.25">
      <c r="H37" s="3" t="s">
        <v>67</v>
      </c>
      <c r="L37" s="18"/>
      <c r="N37" s="13"/>
      <c r="R37" s="3" t="s">
        <v>45</v>
      </c>
      <c r="S37" s="3">
        <v>1.5</v>
      </c>
    </row>
    <row r="38" spans="2:19" ht="15" x14ac:dyDescent="0.25">
      <c r="F38" s="2">
        <f>F36</f>
        <v>0</v>
      </c>
      <c r="G38" s="9" t="s">
        <v>87</v>
      </c>
      <c r="H38" s="2">
        <f>H14</f>
        <v>0</v>
      </c>
      <c r="I38" s="9" t="s">
        <v>29</v>
      </c>
      <c r="J38" s="12">
        <f>IF(H38=0,0,F38/H38)</f>
        <v>0</v>
      </c>
      <c r="N38" s="13"/>
      <c r="R38" s="3" t="s">
        <v>46</v>
      </c>
      <c r="S38" s="3">
        <v>0.4</v>
      </c>
    </row>
    <row r="39" spans="2:19" x14ac:dyDescent="0.2">
      <c r="L39" s="7" t="s">
        <v>85</v>
      </c>
      <c r="N39" s="13" t="s">
        <v>86</v>
      </c>
      <c r="R39" s="3" t="s">
        <v>47</v>
      </c>
      <c r="S39" s="3">
        <v>0.25</v>
      </c>
    </row>
    <row r="40" spans="2:19" ht="15" x14ac:dyDescent="0.25">
      <c r="F40" s="2">
        <f>F38</f>
        <v>0</v>
      </c>
      <c r="K40" s="9" t="s">
        <v>65</v>
      </c>
      <c r="L40" s="2" t="e">
        <f>IF(L41="",VLOOKUP(J38,Floor_Value,VLOOKUP(L8,Floor_Type_Tab,2,FALSE)+1,TRUE),L41)</f>
        <v>#N/A</v>
      </c>
      <c r="M40" s="9" t="s">
        <v>29</v>
      </c>
      <c r="N40" s="12" t="e">
        <f>F40*L40</f>
        <v>#N/A</v>
      </c>
      <c r="O40" s="3" t="s">
        <v>84</v>
      </c>
      <c r="R40" s="3" t="s">
        <v>48</v>
      </c>
      <c r="S40" s="3">
        <v>0.2</v>
      </c>
    </row>
    <row r="41" spans="2:19" ht="15" x14ac:dyDescent="0.25">
      <c r="I41"/>
      <c r="L41" s="18"/>
      <c r="R41" s="3" t="s">
        <v>49</v>
      </c>
      <c r="S41" s="3">
        <v>0.35</v>
      </c>
    </row>
    <row r="42" spans="2:19" x14ac:dyDescent="0.2">
      <c r="R42" s="3" t="s">
        <v>50</v>
      </c>
      <c r="S42" s="3">
        <v>0.7</v>
      </c>
    </row>
    <row r="43" spans="2:19" x14ac:dyDescent="0.2">
      <c r="B43" s="4" t="s">
        <v>27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R43" s="3" t="s">
        <v>51</v>
      </c>
      <c r="S43" s="3">
        <v>2.2999999999999998</v>
      </c>
    </row>
    <row r="45" spans="2:19" x14ac:dyDescent="0.2">
      <c r="B45" s="7" t="s">
        <v>72</v>
      </c>
      <c r="C45" s="7"/>
      <c r="D45" s="7" t="s">
        <v>88</v>
      </c>
    </row>
    <row r="46" spans="2:19" ht="15" x14ac:dyDescent="0.25">
      <c r="B46" s="2">
        <f>B26</f>
        <v>0</v>
      </c>
      <c r="C46" s="9" t="s">
        <v>65</v>
      </c>
      <c r="D46" s="2">
        <f>H7</f>
        <v>0</v>
      </c>
      <c r="E46" s="9" t="s">
        <v>65</v>
      </c>
      <c r="F46" s="10">
        <v>0.76</v>
      </c>
      <c r="G46" s="9" t="s">
        <v>29</v>
      </c>
      <c r="H46" s="2">
        <f>B46*D46*F46</f>
        <v>0</v>
      </c>
      <c r="J46" s="7" t="s">
        <v>90</v>
      </c>
      <c r="N46" s="13" t="s">
        <v>92</v>
      </c>
      <c r="R46" s="3" t="s">
        <v>54</v>
      </c>
    </row>
    <row r="47" spans="2:19" ht="15" x14ac:dyDescent="0.25">
      <c r="D47" s="3" t="s">
        <v>89</v>
      </c>
      <c r="H47" s="9" t="s">
        <v>30</v>
      </c>
      <c r="I47" s="9" t="s">
        <v>29</v>
      </c>
      <c r="J47" s="8">
        <f>H46+H48</f>
        <v>0</v>
      </c>
      <c r="K47" s="9" t="s">
        <v>65</v>
      </c>
      <c r="L47" s="10">
        <v>0.33</v>
      </c>
      <c r="N47" s="12">
        <f>J47*L47</f>
        <v>0</v>
      </c>
      <c r="O47" s="3" t="s">
        <v>84</v>
      </c>
      <c r="R47" s="3" t="s">
        <v>55</v>
      </c>
      <c r="S47" s="3">
        <v>1</v>
      </c>
    </row>
    <row r="48" spans="2:19" ht="15" x14ac:dyDescent="0.25">
      <c r="D48" s="2">
        <f>O7</f>
        <v>0</v>
      </c>
      <c r="E48" s="9" t="s">
        <v>65</v>
      </c>
      <c r="F48" s="10">
        <v>40</v>
      </c>
      <c r="G48" s="9" t="s">
        <v>29</v>
      </c>
      <c r="H48" s="2">
        <f>D48*F48</f>
        <v>0</v>
      </c>
      <c r="R48" s="3" t="s">
        <v>56</v>
      </c>
      <c r="S48" s="3">
        <v>2</v>
      </c>
    </row>
    <row r="49" spans="2:21" x14ac:dyDescent="0.2">
      <c r="L49" s="3" t="s">
        <v>101</v>
      </c>
      <c r="N49" s="3" t="s">
        <v>102</v>
      </c>
      <c r="R49" s="3" t="s">
        <v>53</v>
      </c>
      <c r="S49" s="3">
        <v>3</v>
      </c>
    </row>
    <row r="50" spans="2:21" ht="15" x14ac:dyDescent="0.25">
      <c r="L50" s="16">
        <v>0</v>
      </c>
      <c r="N50" s="12">
        <f>N47*(1-L50)</f>
        <v>0</v>
      </c>
      <c r="O50" s="3" t="s">
        <v>84</v>
      </c>
    </row>
    <row r="52" spans="2:21" x14ac:dyDescent="0.2">
      <c r="B52" s="4" t="s">
        <v>129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4" spans="2:21" x14ac:dyDescent="0.2">
      <c r="B54" s="7" t="s">
        <v>10</v>
      </c>
      <c r="C54" s="11"/>
      <c r="D54" s="11" t="s">
        <v>130</v>
      </c>
      <c r="E54" s="5"/>
      <c r="G54" s="7"/>
      <c r="N54" s="7" t="s">
        <v>132</v>
      </c>
    </row>
    <row r="55" spans="2:21" x14ac:dyDescent="0.2">
      <c r="B55" s="8">
        <f>B13</f>
        <v>0</v>
      </c>
      <c r="D55" s="6"/>
      <c r="F55" s="8">
        <f>B55*D55</f>
        <v>0</v>
      </c>
      <c r="H55" s="7" t="s">
        <v>13</v>
      </c>
      <c r="J55" s="7" t="s">
        <v>14</v>
      </c>
      <c r="L55" s="3" t="s">
        <v>131</v>
      </c>
      <c r="N55" s="7" t="s">
        <v>133</v>
      </c>
    </row>
    <row r="56" spans="2:21" ht="15" x14ac:dyDescent="0.25">
      <c r="B56" s="7" t="s">
        <v>11</v>
      </c>
      <c r="C56" s="7"/>
      <c r="D56" s="11" t="s">
        <v>130</v>
      </c>
      <c r="F56" s="9" t="s">
        <v>30</v>
      </c>
      <c r="G56" s="9" t="s">
        <v>65</v>
      </c>
      <c r="H56" s="8">
        <f>H7</f>
        <v>0</v>
      </c>
      <c r="I56" s="9" t="s">
        <v>65</v>
      </c>
      <c r="J56" s="6"/>
      <c r="K56" s="9" t="s">
        <v>65</v>
      </c>
      <c r="L56" s="8">
        <f>IF(L57="",S56,L57)</f>
        <v>1.33</v>
      </c>
      <c r="M56" s="9" t="s">
        <v>29</v>
      </c>
      <c r="N56" s="12">
        <f>(F55+F57)*H56*J56*L56</f>
        <v>0</v>
      </c>
      <c r="O56" s="3" t="s">
        <v>84</v>
      </c>
      <c r="R56" s="3" t="s">
        <v>134</v>
      </c>
      <c r="S56" s="3">
        <v>1.33</v>
      </c>
    </row>
    <row r="57" spans="2:21" ht="15" x14ac:dyDescent="0.25">
      <c r="B57" s="8">
        <f>D8</f>
        <v>0</v>
      </c>
      <c r="C57" s="5"/>
      <c r="D57" s="6"/>
      <c r="E57" s="5"/>
      <c r="F57" s="8">
        <f>D57*B57</f>
        <v>0</v>
      </c>
      <c r="H57" s="9"/>
      <c r="L57" s="18"/>
      <c r="N57" s="13"/>
      <c r="R57" s="3" t="s">
        <v>135</v>
      </c>
      <c r="S57" s="3">
        <v>1.02</v>
      </c>
    </row>
    <row r="58" spans="2:21" x14ac:dyDescent="0.2">
      <c r="L58" s="7"/>
      <c r="N58" s="14" t="s">
        <v>140</v>
      </c>
      <c r="R58" s="3" t="s">
        <v>136</v>
      </c>
      <c r="S58" s="3">
        <v>1.02</v>
      </c>
    </row>
    <row r="59" spans="2:21" x14ac:dyDescent="0.2">
      <c r="J59" s="3" t="s">
        <v>138</v>
      </c>
      <c r="L59" s="7" t="s">
        <v>139</v>
      </c>
      <c r="N59" s="14" t="s">
        <v>133</v>
      </c>
    </row>
    <row r="60" spans="2:21" ht="15" x14ac:dyDescent="0.25">
      <c r="B60" s="3" t="s">
        <v>137</v>
      </c>
      <c r="J60" s="2">
        <f>F23</f>
        <v>0</v>
      </c>
      <c r="K60" s="9" t="s">
        <v>65</v>
      </c>
      <c r="L60" s="8">
        <f>IF(L61="",S57,L61)</f>
        <v>1.02</v>
      </c>
      <c r="M60" s="9" t="s">
        <v>29</v>
      </c>
      <c r="N60" s="12">
        <f>IF(OR(D6="Mid Flat",D6="Bottom Flat"),J60*L60,0)</f>
        <v>0</v>
      </c>
      <c r="O60" s="3" t="s">
        <v>84</v>
      </c>
    </row>
    <row r="61" spans="2:21" ht="15" x14ac:dyDescent="0.25">
      <c r="L61" s="18"/>
      <c r="N61" s="14"/>
    </row>
    <row r="62" spans="2:21" x14ac:dyDescent="0.2">
      <c r="L62" s="7"/>
      <c r="N62" s="14" t="s">
        <v>141</v>
      </c>
    </row>
    <row r="63" spans="2:21" x14ac:dyDescent="0.2">
      <c r="J63" s="3" t="s">
        <v>138</v>
      </c>
      <c r="L63" s="7" t="s">
        <v>143</v>
      </c>
      <c r="N63" s="14" t="s">
        <v>133</v>
      </c>
      <c r="R63" s="3" t="s">
        <v>52</v>
      </c>
    </row>
    <row r="64" spans="2:21" ht="15" x14ac:dyDescent="0.25">
      <c r="B64" s="3" t="s">
        <v>142</v>
      </c>
      <c r="J64" s="2">
        <f>J60</f>
        <v>0</v>
      </c>
      <c r="K64" s="9" t="s">
        <v>65</v>
      </c>
      <c r="L64" s="8">
        <f>IF(L65="",S58,L65)</f>
        <v>1.02</v>
      </c>
      <c r="M64" s="9" t="s">
        <v>29</v>
      </c>
      <c r="N64" s="12">
        <f>IF(OR(D6="Mid Flat",D6="Top Flat"),J64*L64,0)</f>
        <v>0</v>
      </c>
      <c r="O64" s="3" t="s">
        <v>84</v>
      </c>
      <c r="R64" s="3">
        <v>0</v>
      </c>
      <c r="S64" s="3">
        <v>1.41</v>
      </c>
      <c r="T64" s="3">
        <v>1.87</v>
      </c>
      <c r="U64" s="3">
        <v>0.63</v>
      </c>
    </row>
    <row r="65" spans="2:21" ht="15" x14ac:dyDescent="0.25">
      <c r="L65" s="18"/>
      <c r="N65" s="14"/>
      <c r="R65" s="3">
        <v>1</v>
      </c>
      <c r="S65" s="3">
        <v>1.08</v>
      </c>
      <c r="T65" s="3">
        <v>1.69</v>
      </c>
      <c r="U65" s="3">
        <v>0.67</v>
      </c>
    </row>
    <row r="66" spans="2:21" x14ac:dyDescent="0.2">
      <c r="H66" s="3" t="s">
        <v>144</v>
      </c>
      <c r="N66" s="14" t="s">
        <v>145</v>
      </c>
      <c r="R66" s="3">
        <v>1.5</v>
      </c>
      <c r="S66" s="3">
        <v>0.98</v>
      </c>
      <c r="T66" s="3">
        <v>1.52</v>
      </c>
      <c r="U66" s="3">
        <v>0.67</v>
      </c>
    </row>
    <row r="67" spans="2:21" ht="15" x14ac:dyDescent="0.25">
      <c r="H67" s="12">
        <f>N56+N60+N64</f>
        <v>0</v>
      </c>
      <c r="K67" s="9" t="s">
        <v>65</v>
      </c>
      <c r="L67" s="10">
        <v>10.6</v>
      </c>
      <c r="M67" s="9" t="s">
        <v>29</v>
      </c>
      <c r="N67" s="12">
        <f>H67*L67</f>
        <v>0</v>
      </c>
      <c r="O67" s="3" t="s">
        <v>146</v>
      </c>
      <c r="R67" s="3">
        <v>2</v>
      </c>
      <c r="S67" s="3">
        <v>0.9</v>
      </c>
      <c r="T67" s="3">
        <v>1.38</v>
      </c>
      <c r="U67" s="3">
        <v>0.66</v>
      </c>
    </row>
    <row r="68" spans="2:21" x14ac:dyDescent="0.2">
      <c r="N68" s="7"/>
      <c r="R68" s="3">
        <v>2.5</v>
      </c>
      <c r="S68" s="3">
        <v>0.84</v>
      </c>
      <c r="T68" s="3">
        <v>1.27</v>
      </c>
      <c r="U68" s="3">
        <v>0.64</v>
      </c>
    </row>
    <row r="69" spans="2:21" x14ac:dyDescent="0.2">
      <c r="B69" s="4" t="s">
        <v>127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R69" s="3">
        <v>3</v>
      </c>
      <c r="S69" s="3">
        <v>0.73</v>
      </c>
      <c r="T69" s="3">
        <v>1.0900000000000001</v>
      </c>
      <c r="U69" s="3">
        <v>0.6</v>
      </c>
    </row>
    <row r="70" spans="2:21" x14ac:dyDescent="0.2">
      <c r="R70" s="3">
        <v>4</v>
      </c>
      <c r="S70" s="3">
        <v>0.66</v>
      </c>
      <c r="T70" s="3">
        <v>0.96</v>
      </c>
      <c r="U70" s="3">
        <v>0.56000000000000005</v>
      </c>
    </row>
    <row r="71" spans="2:21" x14ac:dyDescent="0.2">
      <c r="B71" s="7" t="s">
        <v>78</v>
      </c>
      <c r="C71" s="7"/>
      <c r="D71" s="14" t="s">
        <v>81</v>
      </c>
      <c r="E71" s="7"/>
      <c r="F71" s="14" t="s">
        <v>83</v>
      </c>
      <c r="G71" s="7"/>
      <c r="H71" s="14" t="s">
        <v>86</v>
      </c>
      <c r="I71" s="7"/>
      <c r="J71" s="14" t="s">
        <v>91</v>
      </c>
      <c r="L71" s="3" t="s">
        <v>93</v>
      </c>
      <c r="N71" s="3" t="s">
        <v>94</v>
      </c>
      <c r="R71" s="3">
        <v>5</v>
      </c>
      <c r="S71" s="3">
        <v>0.44</v>
      </c>
      <c r="T71" s="3">
        <v>0.62</v>
      </c>
      <c r="U71" s="3">
        <v>0.41</v>
      </c>
    </row>
    <row r="72" spans="2:21" ht="15" x14ac:dyDescent="0.25">
      <c r="B72" s="12" t="e">
        <f>N26</f>
        <v>#N/A</v>
      </c>
      <c r="C72" s="9" t="s">
        <v>30</v>
      </c>
      <c r="D72" s="12" t="e">
        <f>N30</f>
        <v>#N/A</v>
      </c>
      <c r="E72" s="9" t="s">
        <v>30</v>
      </c>
      <c r="F72" s="12" t="e">
        <f>N36</f>
        <v>#N/A</v>
      </c>
      <c r="G72" s="9" t="s">
        <v>30</v>
      </c>
      <c r="H72" s="12" t="e">
        <f>N40</f>
        <v>#N/A</v>
      </c>
      <c r="I72" s="9" t="s">
        <v>30</v>
      </c>
      <c r="J72" s="12">
        <f>N50</f>
        <v>0</v>
      </c>
      <c r="K72" s="9" t="s">
        <v>65</v>
      </c>
      <c r="L72" s="2" t="e">
        <f>VLOOKUP(H6,Loc_Fact_Tab,2,FALSE)</f>
        <v>#N/A</v>
      </c>
      <c r="M72" s="9" t="s">
        <v>29</v>
      </c>
      <c r="N72" s="20" t="e">
        <f>(B72+D72+F72+H72+J72)*L72</f>
        <v>#N/A</v>
      </c>
      <c r="O72" s="3" t="s">
        <v>84</v>
      </c>
      <c r="R72" s="3">
        <v>10</v>
      </c>
      <c r="S72" s="3">
        <v>0.27</v>
      </c>
      <c r="T72" s="3">
        <v>0.38</v>
      </c>
      <c r="U72" s="3">
        <v>0.27</v>
      </c>
    </row>
    <row r="73" spans="2:21" x14ac:dyDescent="0.2">
      <c r="R73" s="3">
        <v>20</v>
      </c>
      <c r="S73" s="3">
        <v>0.16</v>
      </c>
      <c r="T73" s="3">
        <v>0.22</v>
      </c>
      <c r="U73" s="3">
        <v>0.17</v>
      </c>
    </row>
    <row r="74" spans="2:2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</sheetData>
  <mergeCells count="1">
    <mergeCell ref="D2:F2"/>
  </mergeCells>
  <dataValidations count="5">
    <dataValidation type="list" allowBlank="1" showInputMessage="1" showErrorMessage="1" sqref="E6">
      <formula1>P_Type</formula1>
    </dataValidation>
    <dataValidation type="list" allowBlank="1" showInputMessage="1" showErrorMessage="1" sqref="L6">
      <formula1>Wall_Type</formula1>
    </dataValidation>
    <dataValidation type="list" allowBlank="1" showInputMessage="1" showErrorMessage="1" sqref="L7">
      <formula1>Roof_Type</formula1>
    </dataValidation>
    <dataValidation type="list" allowBlank="1" showInputMessage="1" showErrorMessage="1" sqref="L8">
      <formula1>Floor_Type</formula1>
    </dataValidation>
    <dataValidation type="list" allowBlank="1" showInputMessage="1" showErrorMessage="1" sqref="O6">
      <formula1>Win_Type</formula1>
    </dataValidation>
  </dataValidations>
  <pageMargins left="0.23622047244094491" right="0.23622047244094491" top="0.19685039370078741" bottom="0.19685039370078741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7"/>
  <sheetViews>
    <sheetView workbookViewId="0"/>
  </sheetViews>
  <sheetFormatPr defaultRowHeight="15" x14ac:dyDescent="0.25"/>
  <sheetData>
    <row r="3" spans="2:5" x14ac:dyDescent="0.25">
      <c r="B3" t="s">
        <v>126</v>
      </c>
    </row>
    <row r="5" spans="2:5" x14ac:dyDescent="0.25">
      <c r="B5" s="17" t="s">
        <v>103</v>
      </c>
      <c r="C5" s="17"/>
      <c r="D5" s="17"/>
      <c r="E5" s="17"/>
    </row>
    <row r="6" spans="2:5" x14ac:dyDescent="0.25">
      <c r="B6" s="17" t="s">
        <v>104</v>
      </c>
      <c r="C6" s="17"/>
      <c r="D6" s="17"/>
      <c r="E6" s="17"/>
    </row>
    <row r="7" spans="2:5" x14ac:dyDescent="0.25">
      <c r="B7" t="s">
        <v>105</v>
      </c>
    </row>
    <row r="8" spans="2:5" x14ac:dyDescent="0.25">
      <c r="B8" t="s">
        <v>106</v>
      </c>
    </row>
    <row r="9" spans="2:5" x14ac:dyDescent="0.25">
      <c r="B9" t="s">
        <v>107</v>
      </c>
    </row>
    <row r="10" spans="2:5" x14ac:dyDescent="0.25">
      <c r="B10" s="17" t="s">
        <v>108</v>
      </c>
      <c r="C10" s="17"/>
      <c r="D10" s="17"/>
      <c r="E10" s="17"/>
    </row>
    <row r="11" spans="2:5" x14ac:dyDescent="0.25">
      <c r="B11" s="17" t="s">
        <v>109</v>
      </c>
      <c r="C11" s="17"/>
      <c r="D11" s="17"/>
      <c r="E11" s="17"/>
    </row>
    <row r="12" spans="2:5" x14ac:dyDescent="0.25">
      <c r="B12" s="17" t="s">
        <v>110</v>
      </c>
      <c r="C12" s="17"/>
      <c r="D12" s="17"/>
      <c r="E12" s="17"/>
    </row>
    <row r="13" spans="2:5" x14ac:dyDescent="0.25">
      <c r="B13" t="s">
        <v>111</v>
      </c>
    </row>
    <row r="14" spans="2:5" x14ac:dyDescent="0.25">
      <c r="B14" t="s">
        <v>112</v>
      </c>
    </row>
    <row r="15" spans="2:5" x14ac:dyDescent="0.25">
      <c r="B15" s="17" t="s">
        <v>113</v>
      </c>
      <c r="C15" s="17"/>
      <c r="D15" s="17"/>
      <c r="E15" s="17"/>
    </row>
    <row r="16" spans="2:5" x14ac:dyDescent="0.25">
      <c r="B16" t="s">
        <v>114</v>
      </c>
    </row>
    <row r="17" spans="2:4" x14ac:dyDescent="0.25">
      <c r="B17" t="s">
        <v>115</v>
      </c>
    </row>
    <row r="18" spans="2:4" x14ac:dyDescent="0.25">
      <c r="B18" s="17" t="s">
        <v>116</v>
      </c>
      <c r="C18" s="17"/>
      <c r="D18" s="17"/>
    </row>
    <row r="19" spans="2:4" x14ac:dyDescent="0.25">
      <c r="B19" s="17" t="s">
        <v>117</v>
      </c>
      <c r="C19" s="17"/>
      <c r="D19" s="17"/>
    </row>
    <row r="20" spans="2:4" x14ac:dyDescent="0.25">
      <c r="B20" t="s">
        <v>118</v>
      </c>
    </row>
    <row r="21" spans="2:4" x14ac:dyDescent="0.25">
      <c r="B21" t="s">
        <v>119</v>
      </c>
    </row>
    <row r="22" spans="2:4" x14ac:dyDescent="0.25">
      <c r="B22" t="s">
        <v>120</v>
      </c>
    </row>
    <row r="23" spans="2:4" x14ac:dyDescent="0.25">
      <c r="B23" t="s">
        <v>121</v>
      </c>
    </row>
    <row r="24" spans="2:4" x14ac:dyDescent="0.25">
      <c r="B24" s="17" t="s">
        <v>122</v>
      </c>
      <c r="C24" s="17"/>
      <c r="D24" s="17"/>
    </row>
    <row r="25" spans="2:4" x14ac:dyDescent="0.25">
      <c r="B25" s="17" t="s">
        <v>123</v>
      </c>
      <c r="C25" s="17"/>
      <c r="D25" s="17"/>
    </row>
    <row r="26" spans="2:4" x14ac:dyDescent="0.25">
      <c r="B26" s="17" t="s">
        <v>124</v>
      </c>
      <c r="C26" s="17"/>
      <c r="D26" s="17"/>
    </row>
    <row r="27" spans="2:4" x14ac:dyDescent="0.25">
      <c r="B27" t="s">
        <v>125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42</vt:i4>
      </vt:variant>
    </vt:vector>
  </HeadingPairs>
  <TitlesOfParts>
    <vt:vector size="46" baseType="lpstr">
      <vt:lpstr>Master Calculation</vt:lpstr>
      <vt:lpstr>Additional Element - 1</vt:lpstr>
      <vt:lpstr>Additional Element - 2</vt:lpstr>
      <vt:lpstr>Notes</vt:lpstr>
      <vt:lpstr>'Additional Element - 1'!Floor_Type</vt:lpstr>
      <vt:lpstr>'Additional Element - 2'!Floor_Type</vt:lpstr>
      <vt:lpstr>Floor_Type</vt:lpstr>
      <vt:lpstr>'Additional Element - 1'!Floor_Type_Tab</vt:lpstr>
      <vt:lpstr>'Additional Element - 2'!Floor_Type_Tab</vt:lpstr>
      <vt:lpstr>Floor_Type_Tab</vt:lpstr>
      <vt:lpstr>'Additional Element - 1'!Floor_Value</vt:lpstr>
      <vt:lpstr>'Additional Element - 2'!Floor_Value</vt:lpstr>
      <vt:lpstr>Floor_Value</vt:lpstr>
      <vt:lpstr>'Additional Element - 1'!Loc_Fact</vt:lpstr>
      <vt:lpstr>'Additional Element - 2'!Loc_Fact</vt:lpstr>
      <vt:lpstr>Loc_Fact</vt:lpstr>
      <vt:lpstr>'Additional Element - 1'!Loc_Fact_Tab</vt:lpstr>
      <vt:lpstr>'Additional Element - 2'!Loc_Fact_Tab</vt:lpstr>
      <vt:lpstr>Loc_Fact_Tab</vt:lpstr>
      <vt:lpstr>'Additional Element - 1'!P_Type</vt:lpstr>
      <vt:lpstr>'Additional Element - 2'!P_Type</vt:lpstr>
      <vt:lpstr>P_Type</vt:lpstr>
      <vt:lpstr>'Additional Element - 1'!P_Type_Tab</vt:lpstr>
      <vt:lpstr>'Additional Element - 2'!P_Type_Tab</vt:lpstr>
      <vt:lpstr>P_Type_Tab</vt:lpstr>
      <vt:lpstr>'Additional Element - 1'!Print_Area</vt:lpstr>
      <vt:lpstr>'Additional Element - 2'!Print_Area</vt:lpstr>
      <vt:lpstr>'Master Calculation'!Print_Area</vt:lpstr>
      <vt:lpstr>'Additional Element - 1'!Roof_Type</vt:lpstr>
      <vt:lpstr>'Additional Element - 2'!Roof_Type</vt:lpstr>
      <vt:lpstr>Roof_Type</vt:lpstr>
      <vt:lpstr>'Additional Element - 1'!Roof_Type_Tab</vt:lpstr>
      <vt:lpstr>'Additional Element - 2'!Roof_Type_Tab</vt:lpstr>
      <vt:lpstr>Roof_Type_Tab</vt:lpstr>
      <vt:lpstr>'Additional Element - 1'!Wall_Type</vt:lpstr>
      <vt:lpstr>'Additional Element - 2'!Wall_Type</vt:lpstr>
      <vt:lpstr>Wall_Type</vt:lpstr>
      <vt:lpstr>'Additional Element - 1'!Wall_Type_Tab</vt:lpstr>
      <vt:lpstr>'Additional Element - 2'!Wall_Type_Tab</vt:lpstr>
      <vt:lpstr>Wall_Type_Tab</vt:lpstr>
      <vt:lpstr>'Additional Element - 1'!Win_Type</vt:lpstr>
      <vt:lpstr>'Additional Element - 2'!Win_Type</vt:lpstr>
      <vt:lpstr>Win_Type</vt:lpstr>
      <vt:lpstr>'Additional Element - 1'!Win_Type_Tab</vt:lpstr>
      <vt:lpstr>'Additional Element - 2'!Win_Type_Tab</vt:lpstr>
      <vt:lpstr>Win_Type_Tab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2013-06-07T20:35:41Z</cp:lastPrinted>
  <dcterms:created xsi:type="dcterms:W3CDTF">2013-06-06T22:10:20Z</dcterms:created>
  <dcterms:modified xsi:type="dcterms:W3CDTF">2013-06-07T21:39:04Z</dcterms:modified>
</cp:coreProperties>
</file>